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55" windowHeight="12285" activeTab="0"/>
  </bookViews>
  <sheets>
    <sheet name="Макаренко 22" sheetId="1" r:id="rId1"/>
  </sheets>
  <definedNames/>
  <calcPr fullCalcOnLoad="1"/>
</workbook>
</file>

<file path=xl/sharedStrings.xml><?xml version="1.0" encoding="utf-8"?>
<sst xmlns="http://schemas.openxmlformats.org/spreadsheetml/2006/main" count="53" uniqueCount="19">
  <si>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</si>
  <si>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</si>
  <si>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</si>
  <si>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</si>
  <si>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</si>
  <si>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</si>
  <si>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Приращение за период по счетчикам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</si>
  <si>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</si>
  <si>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</si>
  <si>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</si>
  <si>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</si>
  <si>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</si>
  <si>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</si>
  <si>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</si>
  <si>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н/р</t>
  </si>
  <si>
    <t>н/п</t>
  </si>
  <si>
    <t>Показания приборов учета отопления за ДЕКАБРЬ  2019 г по адресу: г.Белгород ул.Макаренко д.22</t>
  </si>
  <si>
    <t>29.11.2019.  0:00:00</t>
  </si>
  <si>
    <t>26.12.2019.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</si>
</sst>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0.00000000"/>
    <numFmt numFmtId="187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vertical="center"/>
    </xf>
    <xf numFmtId="183" fontId="39" fillId="0" borderId="0" xfId="0" applyNumberFormat="1" applyFont="1" applyAlignment="1">
      <alignment/>
    </xf>
    <xf numFmtId="183" fontId="40" fillId="0" borderId="0" xfId="0" applyNumberFormat="1" applyFont="1" applyAlignment="1">
      <alignment/>
    </xf>
    <xf numFmtId="183" fontId="37" fillId="0" borderId="0" xfId="0" applyNumberFormat="1" applyFont="1" applyAlignment="1">
      <alignment/>
    </xf>
    <xf numFmtId="183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3" fontId="39" fillId="0" borderId="10" xfId="0" applyNumberFormat="1" applyFont="1" applyBorder="1" applyAlignment="1">
      <alignment horizontal="center" vertical="center"/>
    </xf>
    <xf numFmtId="185" fontId="40" fillId="33" borderId="14" xfId="0" applyNumberFormat="1" applyFont="1" applyFill="1" applyBorder="1" applyAlignment="1">
      <alignment horizontal="center"/>
    </xf>
    <xf numFmtId="183" fontId="2" fillId="34" borderId="14" xfId="0" applyNumberFormat="1" applyFont="1" applyFill="1" applyBorder="1" applyAlignment="1">
      <alignment/>
    </xf>
    <xf numFmtId="183" fontId="2" fillId="33" borderId="14" xfId="0" applyNumberFormat="1" applyFont="1" applyFill="1" applyBorder="1" applyAlignment="1">
      <alignment/>
    </xf>
    <xf numFmtId="183" fontId="2" fillId="35" borderId="14" xfId="0" applyNumberFormat="1" applyFont="1" applyFill="1" applyBorder="1" applyAlignment="1">
      <alignment/>
    </xf>
    <xf numFmtId="183" fontId="2" fillId="34" borderId="15" xfId="0" applyNumberFormat="1" applyFont="1" applyFill="1" applyBorder="1" applyAlignment="1">
      <alignment/>
    </xf>
    <xf numFmtId="183" fontId="2" fillId="33" borderId="14" xfId="0" applyNumberFormat="1" applyFont="1" applyFill="1" applyBorder="1" applyAlignment="1">
      <alignment horizontal="right" vertical="center"/>
    </xf>
    <xf numFmtId="183" fontId="2" fillId="34" borderId="16" xfId="0" applyNumberFormat="1" applyFont="1" applyFill="1" applyBorder="1" applyAlignment="1">
      <alignment/>
    </xf>
    <xf numFmtId="185" fontId="2" fillId="33" borderId="14" xfId="0" applyNumberFormat="1" applyFont="1" applyFill="1" applyBorder="1" applyAlignment="1">
      <alignment/>
    </xf>
    <xf numFmtId="185" fontId="2" fillId="33" borderId="15" xfId="0" applyNumberFormat="1" applyFont="1" applyFill="1" applyBorder="1" applyAlignment="1">
      <alignment/>
    </xf>
    <xf numFmtId="185" fontId="2" fillId="33" borderId="10" xfId="0" applyNumberFormat="1" applyFont="1" applyFill="1" applyBorder="1" applyAlignment="1">
      <alignment/>
    </xf>
    <xf numFmtId="183" fontId="39" fillId="34" borderId="10" xfId="0" applyNumberFormat="1" applyFont="1" applyFill="1" applyBorder="1" applyAlignment="1">
      <alignment horizontal="center" vertical="center" wrapText="1"/>
    </xf>
    <xf numFmtId="183" fontId="39" fillId="34" borderId="13" xfId="0" applyNumberFormat="1" applyFont="1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183" fontId="39" fillId="34" borderId="0" xfId="0" applyNumberFormat="1" applyFont="1" applyFill="1" applyAlignment="1">
      <alignment/>
    </xf>
    <xf numFmtId="183" fontId="0" fillId="34" borderId="0" xfId="0" applyNumberFormat="1" applyFill="1" applyAlignment="1">
      <alignment/>
    </xf>
    <xf numFmtId="183" fontId="39" fillId="0" borderId="10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183" fontId="39" fillId="34" borderId="11" xfId="0" applyNumberFormat="1" applyFont="1" applyFill="1" applyBorder="1" applyAlignment="1">
      <alignment horizontal="center" vertical="center" wrapText="1"/>
    </xf>
    <xf numFmtId="183" fontId="39" fillId="34" borderId="13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3" fontId="39" fillId="0" borderId="11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horizontal="center" vertical="center" wrapText="1"/>
    </xf>
    <xf numFmtId="183" fontId="40" fillId="0" borderId="11" xfId="0" applyNumberFormat="1" applyFont="1" applyBorder="1" applyAlignment="1">
      <alignment horizontal="center" vertical="center"/>
    </xf>
    <xf numFmtId="183" fontId="40" fillId="0" borderId="13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3" fontId="39" fillId="36" borderId="10" xfId="0" applyNumberFormat="1" applyFont="1" applyFill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183" fontId="40" fillId="0" borderId="21" xfId="0" applyNumberFormat="1" applyFont="1" applyBorder="1" applyAlignment="1">
      <alignment horizontal="center" vertical="center" wrapText="1"/>
    </xf>
    <xf numFmtId="183" fontId="40" fillId="0" borderId="22" xfId="0" applyNumberFormat="1" applyFont="1" applyBorder="1" applyAlignment="1">
      <alignment horizontal="center" vertical="center" wrapText="1"/>
    </xf>
    <xf numFmtId="183" fontId="40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="115" zoomScaleNormal="115" zoomScalePageLayoutView="0" workbookViewId="0" topLeftCell="A1">
      <pane xSplit="1" ySplit="5" topLeftCell="B1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62" sqref="F162:G162"/>
    </sheetView>
  </sheetViews>
  <sheetFormatPr defaultColWidth="9.140625" defaultRowHeight="15"/>
  <cols>
    <col min="1" max="1" width="9.28125" style="0" customWidth="1"/>
    <col min="2" max="2" width="14.28125" style="0" customWidth="1"/>
    <col min="3" max="3" width="14.57421875" style="32" customWidth="1"/>
    <col min="4" max="4" width="16.140625" style="4" customWidth="1"/>
    <col min="5" max="5" width="15.57421875" style="32" customWidth="1"/>
    <col min="6" max="6" width="16.140625" style="0" customWidth="1"/>
    <col min="7" max="7" width="15.421875" style="11" customWidth="1"/>
  </cols>
  <sheetData>
    <row r="1" spans="1:6" ht="46.5" customHeight="1">
      <c r="A1" s="34" t="s">
        <v>16</v>
      </c>
      <c r="B1" s="34"/>
      <c r="C1" s="34"/>
      <c r="D1" s="34"/>
      <c r="E1" s="34"/>
      <c r="F1" s="34"/>
    </row>
    <row r="2" spans="1:7" ht="15.75" customHeight="1">
      <c r="A2" s="36" t="s">
        <v>0</v>
      </c>
      <c r="B2" s="39" t="s">
        <v>9</v>
      </c>
      <c r="C2" s="40"/>
      <c r="D2" s="40"/>
      <c r="E2" s="40"/>
      <c r="F2" s="40"/>
      <c r="G2" s="41"/>
    </row>
    <row r="3" spans="1:7" ht="31.5" customHeight="1">
      <c r="A3" s="36"/>
      <c r="B3" s="42" t="s">
        <v>1</v>
      </c>
      <c r="C3" s="43"/>
      <c r="D3" s="42" t="s">
        <v>2</v>
      </c>
      <c r="E3" s="43"/>
      <c r="F3" s="49" t="s">
        <v>6</v>
      </c>
      <c r="G3" s="52" t="s">
        <v>8</v>
      </c>
    </row>
    <row r="4" spans="1:7" ht="36" customHeight="1">
      <c r="A4" s="36"/>
      <c r="B4" s="14" t="s">
        <v>10</v>
      </c>
      <c r="C4" s="28" t="s">
        <v>11</v>
      </c>
      <c r="D4" s="7" t="s">
        <v>12</v>
      </c>
      <c r="E4" s="28" t="s">
        <v>11</v>
      </c>
      <c r="F4" s="50"/>
      <c r="G4" s="53"/>
    </row>
    <row r="5" spans="1:7" ht="21" customHeight="1">
      <c r="A5" s="36"/>
      <c r="B5" s="37" t="s">
        <v>17</v>
      </c>
      <c r="C5" s="38"/>
      <c r="D5" s="37" t="s">
        <v>18</v>
      </c>
      <c r="E5" s="38"/>
      <c r="F5" s="51"/>
      <c r="G5" s="54"/>
    </row>
    <row r="6" spans="1:7" ht="15.75">
      <c r="A6" s="2">
        <v>1</v>
      </c>
      <c r="B6" s="13">
        <f>C6*4.1868</f>
        <v>86.16</v>
      </c>
      <c r="C6" s="19">
        <f>86.16/4.1868</f>
        <v>20.57896245342505</v>
      </c>
      <c r="D6" s="13">
        <f aca="true" t="shared" si="0" ref="D6:D69">E6*4.1868</f>
        <v>89.345</v>
      </c>
      <c r="E6" s="19">
        <f>89.345/4.1868</f>
        <v>21.339686634183625</v>
      </c>
      <c r="F6" s="12">
        <f aca="true" t="shared" si="1" ref="F6:F69">E6-C6</f>
        <v>0.7607241807585758</v>
      </c>
      <c r="G6" s="18"/>
    </row>
    <row r="7" spans="1:7" ht="15.75">
      <c r="A7" s="3">
        <v>2</v>
      </c>
      <c r="B7" s="13">
        <f aca="true" t="shared" si="2" ref="B7:B70">C7*4.1868</f>
        <v>43.288</v>
      </c>
      <c r="C7" s="20">
        <f>43.288/4.1868</f>
        <v>10.339161173211044</v>
      </c>
      <c r="D7" s="13">
        <f t="shared" si="0"/>
        <v>44.414</v>
      </c>
      <c r="E7" s="20">
        <f>44.414/4.1868</f>
        <v>10.608101652813605</v>
      </c>
      <c r="F7" s="33">
        <f t="shared" si="1"/>
        <v>0.26894047960256096</v>
      </c>
      <c r="G7" s="18"/>
    </row>
    <row r="8" spans="1:7" ht="15.75">
      <c r="A8" s="15">
        <v>3</v>
      </c>
      <c r="B8" s="13">
        <v>0</v>
      </c>
      <c r="C8" s="20" t="s">
        <v>14</v>
      </c>
      <c r="D8" s="13">
        <v>0</v>
      </c>
      <c r="E8" s="20" t="s">
        <v>14</v>
      </c>
      <c r="F8" s="33">
        <v>0</v>
      </c>
      <c r="G8" s="18">
        <v>0.66</v>
      </c>
    </row>
    <row r="9" spans="1:7" ht="15.75">
      <c r="A9" s="15">
        <v>4</v>
      </c>
      <c r="B9" s="13">
        <v>0</v>
      </c>
      <c r="C9" s="20" t="s">
        <v>14</v>
      </c>
      <c r="D9" s="13">
        <v>0</v>
      </c>
      <c r="E9" s="20" t="s">
        <v>14</v>
      </c>
      <c r="F9" s="33">
        <v>0</v>
      </c>
      <c r="G9" s="18">
        <v>0.596</v>
      </c>
    </row>
    <row r="10" spans="1:7" ht="15.75">
      <c r="A10" s="15">
        <v>5</v>
      </c>
      <c r="B10" s="13">
        <v>0</v>
      </c>
      <c r="C10" s="20">
        <v>0</v>
      </c>
      <c r="D10" s="13">
        <v>0</v>
      </c>
      <c r="E10" s="20">
        <v>0.3502</v>
      </c>
      <c r="F10" s="33">
        <f t="shared" si="1"/>
        <v>0.3502</v>
      </c>
      <c r="G10" s="18"/>
    </row>
    <row r="11" spans="1:7" ht="15.75">
      <c r="A11" s="15">
        <v>6</v>
      </c>
      <c r="B11" s="13">
        <f t="shared" si="2"/>
        <v>0.0041868</v>
      </c>
      <c r="C11" s="20">
        <v>0.001</v>
      </c>
      <c r="D11" s="13">
        <f t="shared" si="0"/>
        <v>0.0041868</v>
      </c>
      <c r="E11" s="20">
        <v>0.001</v>
      </c>
      <c r="F11" s="33">
        <f t="shared" si="1"/>
        <v>0</v>
      </c>
      <c r="G11" s="18"/>
    </row>
    <row r="12" spans="1:7" ht="15.75">
      <c r="A12" s="15">
        <v>7</v>
      </c>
      <c r="B12" s="13">
        <v>0</v>
      </c>
      <c r="C12" s="20" t="s">
        <v>14</v>
      </c>
      <c r="D12" s="13">
        <v>0</v>
      </c>
      <c r="E12" s="20" t="s">
        <v>14</v>
      </c>
      <c r="F12" s="33">
        <v>0</v>
      </c>
      <c r="G12" s="18">
        <v>0.545</v>
      </c>
    </row>
    <row r="13" spans="1:7" ht="15.75">
      <c r="A13" s="15">
        <v>8</v>
      </c>
      <c r="B13" s="13">
        <v>0</v>
      </c>
      <c r="C13" s="21" t="s">
        <v>15</v>
      </c>
      <c r="D13" s="13">
        <v>0</v>
      </c>
      <c r="E13" s="21" t="s">
        <v>15</v>
      </c>
      <c r="F13" s="33">
        <v>0</v>
      </c>
      <c r="G13" s="18">
        <v>1.422</v>
      </c>
    </row>
    <row r="14" spans="1:7" ht="15.75">
      <c r="A14" s="15">
        <v>9</v>
      </c>
      <c r="B14" s="13">
        <f t="shared" si="2"/>
        <v>79.344</v>
      </c>
      <c r="C14" s="20">
        <f>79.344/4.1868</f>
        <v>18.950988822012036</v>
      </c>
      <c r="D14" s="13">
        <f t="shared" si="0"/>
        <v>83.48</v>
      </c>
      <c r="E14" s="20">
        <f>83.48/4.1868</f>
        <v>19.93885545046336</v>
      </c>
      <c r="F14" s="33">
        <f t="shared" si="1"/>
        <v>0.9878666284513251</v>
      </c>
      <c r="G14" s="18"/>
    </row>
    <row r="15" spans="1:7" ht="15.75">
      <c r="A15" s="15">
        <v>10</v>
      </c>
      <c r="B15" s="13">
        <f t="shared" si="2"/>
        <v>6.0122447999999995</v>
      </c>
      <c r="C15" s="20">
        <v>1.436</v>
      </c>
      <c r="D15" s="17">
        <f t="shared" si="0"/>
        <v>6.0122447999999995</v>
      </c>
      <c r="E15" s="20">
        <v>1.436</v>
      </c>
      <c r="F15" s="33">
        <f t="shared" si="1"/>
        <v>0</v>
      </c>
      <c r="G15" s="18"/>
    </row>
    <row r="16" spans="1:7" ht="15.75">
      <c r="A16" s="15">
        <v>11</v>
      </c>
      <c r="B16" s="13">
        <f t="shared" si="2"/>
        <v>43.389</v>
      </c>
      <c r="C16" s="20">
        <f>43.389/4.1868</f>
        <v>10.363284608770423</v>
      </c>
      <c r="D16" s="13">
        <f t="shared" si="0"/>
        <v>45.046</v>
      </c>
      <c r="E16" s="20">
        <f>45.046/4.1868</f>
        <v>10.759052259482182</v>
      </c>
      <c r="F16" s="33">
        <f t="shared" si="1"/>
        <v>0.39576765071175934</v>
      </c>
      <c r="G16" s="18"/>
    </row>
    <row r="17" spans="1:7" ht="15.75">
      <c r="A17" s="15">
        <v>12</v>
      </c>
      <c r="B17" s="13">
        <f t="shared" si="2"/>
        <v>9</v>
      </c>
      <c r="C17" s="20">
        <f>9/4.1868</f>
        <v>2.1496130696474633</v>
      </c>
      <c r="D17" s="13">
        <f t="shared" si="0"/>
        <v>13</v>
      </c>
      <c r="E17" s="20">
        <f>13/4.1868</f>
        <v>3.1049966561574474</v>
      </c>
      <c r="F17" s="33">
        <f t="shared" si="1"/>
        <v>0.955383586509984</v>
      </c>
      <c r="G17" s="18"/>
    </row>
    <row r="18" spans="1:7" ht="15.75">
      <c r="A18" s="15">
        <v>13</v>
      </c>
      <c r="B18" s="13">
        <v>0</v>
      </c>
      <c r="C18" s="20" t="s">
        <v>14</v>
      </c>
      <c r="D18" s="13">
        <v>0</v>
      </c>
      <c r="E18" s="20" t="s">
        <v>14</v>
      </c>
      <c r="F18" s="33">
        <v>0</v>
      </c>
      <c r="G18" s="18">
        <v>0.597</v>
      </c>
    </row>
    <row r="19" spans="1:7" ht="15.75">
      <c r="A19" s="15">
        <v>14</v>
      </c>
      <c r="B19" s="13">
        <f t="shared" si="2"/>
        <v>0.3391308</v>
      </c>
      <c r="C19" s="21">
        <v>0.081</v>
      </c>
      <c r="D19" s="13">
        <f t="shared" si="0"/>
        <v>0.6363936</v>
      </c>
      <c r="E19" s="21">
        <v>0.152</v>
      </c>
      <c r="F19" s="33">
        <f t="shared" si="1"/>
        <v>0.071</v>
      </c>
      <c r="G19" s="18"/>
    </row>
    <row r="20" spans="1:7" ht="15.75">
      <c r="A20" s="15">
        <v>15</v>
      </c>
      <c r="B20" s="13">
        <f t="shared" si="2"/>
        <v>101.16</v>
      </c>
      <c r="C20" s="19">
        <f>101.16/4.1868</f>
        <v>24.16165090283749</v>
      </c>
      <c r="D20" s="13">
        <f t="shared" si="0"/>
        <v>104.552</v>
      </c>
      <c r="E20" s="19">
        <f>104.552/4.1868</f>
        <v>24.97181618419796</v>
      </c>
      <c r="F20" s="33">
        <f t="shared" si="1"/>
        <v>0.8101652813604687</v>
      </c>
      <c r="G20" s="18"/>
    </row>
    <row r="21" spans="1:7" ht="15.75">
      <c r="A21" s="15">
        <v>16</v>
      </c>
      <c r="B21" s="13">
        <f t="shared" si="2"/>
        <v>0.0083736</v>
      </c>
      <c r="C21" s="20">
        <v>0.002</v>
      </c>
      <c r="D21" s="13">
        <f t="shared" si="0"/>
        <v>0.0083736</v>
      </c>
      <c r="E21" s="20">
        <v>0.002</v>
      </c>
      <c r="F21" s="33">
        <f t="shared" si="1"/>
        <v>0</v>
      </c>
      <c r="G21" s="18"/>
    </row>
    <row r="22" spans="1:7" ht="15.75">
      <c r="A22" s="15">
        <v>17</v>
      </c>
      <c r="B22" s="13">
        <f t="shared" si="2"/>
        <v>97.504</v>
      </c>
      <c r="C22" s="19">
        <f>97.504/4.1868</f>
        <v>23.288430304767367</v>
      </c>
      <c r="D22" s="13">
        <f t="shared" si="0"/>
        <v>102.296</v>
      </c>
      <c r="E22" s="19">
        <f>102.296/4.1868</f>
        <v>24.432979841406326</v>
      </c>
      <c r="F22" s="33">
        <f t="shared" si="1"/>
        <v>1.1445495366389586</v>
      </c>
      <c r="G22" s="18"/>
    </row>
    <row r="23" spans="1:7" ht="15.75">
      <c r="A23" s="15">
        <v>18</v>
      </c>
      <c r="B23" s="13">
        <v>0</v>
      </c>
      <c r="C23" s="20" t="s">
        <v>14</v>
      </c>
      <c r="D23" s="13">
        <v>0</v>
      </c>
      <c r="E23" s="20" t="s">
        <v>14</v>
      </c>
      <c r="F23" s="33">
        <v>0</v>
      </c>
      <c r="G23" s="18">
        <v>0.899</v>
      </c>
    </row>
    <row r="24" spans="1:7" ht="15.75">
      <c r="A24" s="15">
        <v>19</v>
      </c>
      <c r="B24" s="13">
        <f t="shared" si="2"/>
        <v>3.6383292</v>
      </c>
      <c r="C24" s="20">
        <v>0.869</v>
      </c>
      <c r="D24" s="13">
        <f t="shared" si="0"/>
        <v>4.9362372</v>
      </c>
      <c r="E24" s="20">
        <v>1.179</v>
      </c>
      <c r="F24" s="33">
        <f t="shared" si="1"/>
        <v>0.31000000000000005</v>
      </c>
      <c r="G24" s="18"/>
    </row>
    <row r="25" spans="1:7" ht="15.75">
      <c r="A25" s="15">
        <v>20</v>
      </c>
      <c r="B25" s="13">
        <f t="shared" si="2"/>
        <v>3.45913416</v>
      </c>
      <c r="C25" s="21">
        <v>0.8262</v>
      </c>
      <c r="D25" s="13">
        <f t="shared" si="0"/>
        <v>5.574305519999999</v>
      </c>
      <c r="E25" s="21">
        <v>1.3314</v>
      </c>
      <c r="F25" s="33">
        <f t="shared" si="1"/>
        <v>0.5051999999999999</v>
      </c>
      <c r="G25" s="18"/>
    </row>
    <row r="26" spans="1:7" ht="15.75">
      <c r="A26" s="15">
        <v>21</v>
      </c>
      <c r="B26" s="13">
        <v>0</v>
      </c>
      <c r="C26" s="21" t="s">
        <v>15</v>
      </c>
      <c r="D26" s="13">
        <v>0</v>
      </c>
      <c r="E26" s="21" t="s">
        <v>15</v>
      </c>
      <c r="F26" s="33">
        <v>0</v>
      </c>
      <c r="G26" s="18">
        <v>0.657</v>
      </c>
    </row>
    <row r="27" spans="1:7" ht="15.75">
      <c r="A27" s="15">
        <v>22</v>
      </c>
      <c r="B27" s="13">
        <f t="shared" si="2"/>
        <v>32.785</v>
      </c>
      <c r="C27" s="21">
        <f>32.785/4.1868</f>
        <v>7.830562720932454</v>
      </c>
      <c r="D27" s="13">
        <f t="shared" si="0"/>
        <v>33.382</v>
      </c>
      <c r="E27" s="21">
        <f>33.382/4.1868</f>
        <v>7.973153721219069</v>
      </c>
      <c r="F27" s="33">
        <f t="shared" si="1"/>
        <v>0.14259100028661553</v>
      </c>
      <c r="G27" s="18"/>
    </row>
    <row r="28" spans="1:7" ht="15.75">
      <c r="A28" s="15">
        <v>23</v>
      </c>
      <c r="B28" s="13">
        <f t="shared" si="2"/>
        <v>24.025</v>
      </c>
      <c r="C28" s="19">
        <f>24.025/4.1868</f>
        <v>5.73827266647559</v>
      </c>
      <c r="D28" s="13">
        <f t="shared" si="0"/>
        <v>24.524000000000004</v>
      </c>
      <c r="E28" s="19">
        <f>24.524/4.1868</f>
        <v>5.857456768892711</v>
      </c>
      <c r="F28" s="33">
        <f t="shared" si="1"/>
        <v>0.11918410241712163</v>
      </c>
      <c r="G28" s="18"/>
    </row>
    <row r="29" spans="1:7" ht="15.75">
      <c r="A29" s="15">
        <v>24</v>
      </c>
      <c r="B29" s="13">
        <f t="shared" si="2"/>
        <v>60.332</v>
      </c>
      <c r="C29" s="21">
        <f>60.332/4.1868</f>
        <v>14.410050635330085</v>
      </c>
      <c r="D29" s="13">
        <f t="shared" si="0"/>
        <v>62.834</v>
      </c>
      <c r="E29" s="21">
        <f>62.834/4.1868</f>
        <v>15.007643068692081</v>
      </c>
      <c r="F29" s="33">
        <f t="shared" si="1"/>
        <v>0.5975924333619957</v>
      </c>
      <c r="G29" s="18"/>
    </row>
    <row r="30" spans="1:7" ht="15.75">
      <c r="A30" s="15">
        <v>25</v>
      </c>
      <c r="B30" s="13">
        <f t="shared" si="2"/>
        <v>35.618</v>
      </c>
      <c r="C30" s="20">
        <f>35.618/4.1868</f>
        <v>8.50721314607815</v>
      </c>
      <c r="D30" s="13">
        <f t="shared" si="0"/>
        <v>37.58</v>
      </c>
      <c r="E30" s="20">
        <f>37.58/4.1868</f>
        <v>8.975828795261297</v>
      </c>
      <c r="F30" s="33">
        <f t="shared" si="1"/>
        <v>0.46861564918314613</v>
      </c>
      <c r="G30" s="18"/>
    </row>
    <row r="31" spans="1:7" ht="15.75">
      <c r="A31" s="15">
        <v>26</v>
      </c>
      <c r="B31" s="13">
        <f t="shared" si="2"/>
        <v>65.018</v>
      </c>
      <c r="C31" s="21">
        <f>65.018/4.1868</f>
        <v>15.529282506926531</v>
      </c>
      <c r="D31" s="13">
        <f t="shared" si="0"/>
        <v>65.018</v>
      </c>
      <c r="E31" s="21">
        <f>65.018/4.1868</f>
        <v>15.529282506926531</v>
      </c>
      <c r="F31" s="33">
        <f t="shared" si="1"/>
        <v>0</v>
      </c>
      <c r="G31" s="18"/>
    </row>
    <row r="32" spans="1:7" ht="15.75">
      <c r="A32" s="15">
        <v>27</v>
      </c>
      <c r="B32" s="13">
        <v>0</v>
      </c>
      <c r="C32" s="20" t="s">
        <v>14</v>
      </c>
      <c r="D32" s="13">
        <v>0</v>
      </c>
      <c r="E32" s="20">
        <v>3.006</v>
      </c>
      <c r="F32" s="33">
        <v>0</v>
      </c>
      <c r="G32" s="18">
        <v>0.899</v>
      </c>
    </row>
    <row r="33" spans="1:7" ht="15.75">
      <c r="A33" s="15">
        <v>28</v>
      </c>
      <c r="B33" s="13">
        <v>0</v>
      </c>
      <c r="C33" s="21" t="s">
        <v>15</v>
      </c>
      <c r="D33" s="13">
        <v>0</v>
      </c>
      <c r="E33" s="21" t="s">
        <v>15</v>
      </c>
      <c r="F33" s="33">
        <v>0</v>
      </c>
      <c r="G33" s="18">
        <v>0.567</v>
      </c>
    </row>
    <row r="34" spans="1:7" ht="15.75">
      <c r="A34" s="15">
        <v>29</v>
      </c>
      <c r="B34" s="13">
        <v>0</v>
      </c>
      <c r="C34" s="22">
        <f>45.3/4.1868</f>
        <v>10.819719117225565</v>
      </c>
      <c r="D34" s="13">
        <v>0</v>
      </c>
      <c r="E34" s="22">
        <f>45.79/4.1868</f>
        <v>10.936753606573038</v>
      </c>
      <c r="F34" s="33">
        <f t="shared" si="1"/>
        <v>0.11703448934747307</v>
      </c>
      <c r="G34" s="18"/>
    </row>
    <row r="35" spans="1:7" ht="15.75">
      <c r="A35" s="15">
        <v>30</v>
      </c>
      <c r="B35" s="13">
        <f t="shared" si="2"/>
        <v>42.553</v>
      </c>
      <c r="C35" s="22">
        <f>42.553/4.1868</f>
        <v>10.163609439189834</v>
      </c>
      <c r="D35" s="13">
        <f t="shared" si="0"/>
        <v>43.921</v>
      </c>
      <c r="E35" s="22">
        <f>43.921/4.1868</f>
        <v>10.49035062577625</v>
      </c>
      <c r="F35" s="33">
        <f t="shared" si="1"/>
        <v>0.3267411865864158</v>
      </c>
      <c r="G35" s="18"/>
    </row>
    <row r="36" spans="1:7" ht="15.75">
      <c r="A36" s="15">
        <v>31</v>
      </c>
      <c r="B36" s="13">
        <f t="shared" si="2"/>
        <v>27.429</v>
      </c>
      <c r="C36" s="19">
        <f>27.429/4.1868</f>
        <v>6.551304098595586</v>
      </c>
      <c r="D36" s="13">
        <f t="shared" si="0"/>
        <v>28.564</v>
      </c>
      <c r="E36" s="19">
        <f>28.564/4.1868</f>
        <v>6.822394191267795</v>
      </c>
      <c r="F36" s="33">
        <f t="shared" si="1"/>
        <v>0.2710900926722086</v>
      </c>
      <c r="G36" s="18"/>
    </row>
    <row r="37" spans="1:7" ht="15.75">
      <c r="A37" s="15">
        <v>32</v>
      </c>
      <c r="B37" s="13">
        <f t="shared" si="2"/>
        <v>6.78</v>
      </c>
      <c r="C37" s="23">
        <v>1.6193751791344226</v>
      </c>
      <c r="D37" s="13">
        <f t="shared" si="0"/>
        <v>7.037</v>
      </c>
      <c r="E37" s="19">
        <f>7.037/4.1868</f>
        <v>1.680758574567689</v>
      </c>
      <c r="F37" s="33">
        <f t="shared" si="1"/>
        <v>0.06138339543326632</v>
      </c>
      <c r="G37" s="18"/>
    </row>
    <row r="38" spans="1:7" ht="15.75">
      <c r="A38" s="15">
        <v>33</v>
      </c>
      <c r="B38" s="13">
        <f t="shared" si="2"/>
        <v>2.9181996</v>
      </c>
      <c r="C38" s="20">
        <v>0.697</v>
      </c>
      <c r="D38" s="13">
        <f t="shared" si="0"/>
        <v>4.651534799999999</v>
      </c>
      <c r="E38" s="20">
        <v>1.111</v>
      </c>
      <c r="F38" s="33">
        <f t="shared" si="1"/>
        <v>0.41400000000000003</v>
      </c>
      <c r="G38" s="18"/>
    </row>
    <row r="39" spans="1:7" ht="15.75">
      <c r="A39" s="15">
        <v>34</v>
      </c>
      <c r="B39" s="13">
        <f t="shared" si="2"/>
        <v>58.279</v>
      </c>
      <c r="C39" s="24">
        <f>58.279/4.1868</f>
        <v>13.919700009553837</v>
      </c>
      <c r="D39" s="13">
        <f t="shared" si="0"/>
        <v>58.71600000000001</v>
      </c>
      <c r="E39" s="24">
        <f>58.716/4.1868</f>
        <v>14.024075666380053</v>
      </c>
      <c r="F39" s="33">
        <f t="shared" si="1"/>
        <v>0.10437565682621575</v>
      </c>
      <c r="G39" s="18"/>
    </row>
    <row r="40" spans="1:7" ht="15.75">
      <c r="A40" s="15">
        <v>35</v>
      </c>
      <c r="B40" s="13">
        <f t="shared" si="2"/>
        <v>2.9768147999999997</v>
      </c>
      <c r="C40" s="20">
        <v>0.711</v>
      </c>
      <c r="D40" s="13">
        <f t="shared" si="0"/>
        <v>2.9768147999999997</v>
      </c>
      <c r="E40" s="20">
        <v>0.711</v>
      </c>
      <c r="F40" s="33">
        <f t="shared" si="1"/>
        <v>0</v>
      </c>
      <c r="G40" s="18"/>
    </row>
    <row r="41" spans="1:7" ht="15.75">
      <c r="A41" s="15">
        <v>36</v>
      </c>
      <c r="B41" s="13">
        <f t="shared" si="2"/>
        <v>60.273</v>
      </c>
      <c r="C41" s="19">
        <v>14.395958727429065</v>
      </c>
      <c r="D41" s="13">
        <f t="shared" si="0"/>
        <v>60.273</v>
      </c>
      <c r="E41" s="19">
        <v>14.395958727429065</v>
      </c>
      <c r="F41" s="33">
        <f t="shared" si="1"/>
        <v>0</v>
      </c>
      <c r="G41" s="18"/>
    </row>
    <row r="42" spans="1:7" ht="15.75">
      <c r="A42" s="15">
        <v>37</v>
      </c>
      <c r="B42" s="13">
        <v>0</v>
      </c>
      <c r="C42" s="21" t="s">
        <v>15</v>
      </c>
      <c r="D42" s="13">
        <v>0</v>
      </c>
      <c r="E42" s="21" t="s">
        <v>15</v>
      </c>
      <c r="F42" s="33">
        <v>0</v>
      </c>
      <c r="G42" s="18">
        <v>0.564</v>
      </c>
    </row>
    <row r="43" spans="1:7" ht="15.75">
      <c r="A43" s="15">
        <v>38</v>
      </c>
      <c r="B43" s="13">
        <f t="shared" si="2"/>
        <v>2.531</v>
      </c>
      <c r="C43" s="20">
        <v>0.6045189643641923</v>
      </c>
      <c r="D43" s="13">
        <f t="shared" si="0"/>
        <v>2.531</v>
      </c>
      <c r="E43" s="20">
        <v>0.6045189643641923</v>
      </c>
      <c r="F43" s="33">
        <f t="shared" si="1"/>
        <v>0</v>
      </c>
      <c r="G43" s="18"/>
    </row>
    <row r="44" spans="1:7" ht="15.75">
      <c r="A44" s="15">
        <v>39</v>
      </c>
      <c r="B44" s="13">
        <f t="shared" si="2"/>
        <v>0.0669888</v>
      </c>
      <c r="C44" s="20">
        <v>0.016</v>
      </c>
      <c r="D44" s="13">
        <f t="shared" si="0"/>
        <v>0.0669888</v>
      </c>
      <c r="E44" s="20">
        <v>0.016</v>
      </c>
      <c r="F44" s="33">
        <f t="shared" si="1"/>
        <v>0</v>
      </c>
      <c r="G44" s="18"/>
    </row>
    <row r="45" spans="1:7" ht="15.75">
      <c r="A45" s="15">
        <v>40</v>
      </c>
      <c r="B45" s="13">
        <f t="shared" si="2"/>
        <v>4.396</v>
      </c>
      <c r="C45" s="20">
        <v>1.0499665615744722</v>
      </c>
      <c r="D45" s="13">
        <f t="shared" si="0"/>
        <v>4.396</v>
      </c>
      <c r="E45" s="20">
        <v>1.0499665615744722</v>
      </c>
      <c r="F45" s="33">
        <f t="shared" si="1"/>
        <v>0</v>
      </c>
      <c r="G45" s="18"/>
    </row>
    <row r="46" spans="1:7" ht="15.75">
      <c r="A46" s="15">
        <v>41</v>
      </c>
      <c r="B46" s="13">
        <f t="shared" si="2"/>
        <v>49.738</v>
      </c>
      <c r="C46" s="20">
        <f>49.738/4.1868</f>
        <v>11.879717206458393</v>
      </c>
      <c r="D46" s="13">
        <f t="shared" si="0"/>
        <v>51.501</v>
      </c>
      <c r="E46" s="20">
        <f>51.501/4.1868</f>
        <v>12.300802522212669</v>
      </c>
      <c r="F46" s="33">
        <f t="shared" si="1"/>
        <v>0.42108531575427577</v>
      </c>
      <c r="G46" s="18"/>
    </row>
    <row r="47" spans="1:7" ht="15.75">
      <c r="A47" s="15">
        <v>42</v>
      </c>
      <c r="B47" s="13">
        <v>0</v>
      </c>
      <c r="C47" s="19" t="s">
        <v>14</v>
      </c>
      <c r="D47" s="13">
        <v>0</v>
      </c>
      <c r="E47" s="19" t="s">
        <v>14</v>
      </c>
      <c r="F47" s="33">
        <v>0</v>
      </c>
      <c r="G47" s="18">
        <v>0.972</v>
      </c>
    </row>
    <row r="48" spans="1:7" ht="15.75">
      <c r="A48" s="15">
        <v>43</v>
      </c>
      <c r="B48" s="13">
        <f t="shared" si="2"/>
        <v>81.335</v>
      </c>
      <c r="C48" s="19">
        <f>81.335/4.1868</f>
        <v>19.426531002197382</v>
      </c>
      <c r="D48" s="13">
        <f t="shared" si="0"/>
        <v>83.075</v>
      </c>
      <c r="E48" s="19">
        <f>83.075/4.1868</f>
        <v>19.842122862329227</v>
      </c>
      <c r="F48" s="33">
        <f t="shared" si="1"/>
        <v>0.415591860131844</v>
      </c>
      <c r="G48" s="18"/>
    </row>
    <row r="49" spans="1:7" ht="15.75">
      <c r="A49" s="15">
        <v>44</v>
      </c>
      <c r="B49" s="13">
        <f t="shared" si="2"/>
        <v>86.338</v>
      </c>
      <c r="C49" s="19">
        <f>86.338/4.1868</f>
        <v>20.621477023024745</v>
      </c>
      <c r="D49" s="13">
        <f t="shared" si="0"/>
        <v>86.338</v>
      </c>
      <c r="E49" s="19">
        <f>86.338/4.1868</f>
        <v>20.621477023024745</v>
      </c>
      <c r="F49" s="33">
        <f t="shared" si="1"/>
        <v>0</v>
      </c>
      <c r="G49" s="18"/>
    </row>
    <row r="50" spans="1:7" ht="15.75">
      <c r="A50" s="15">
        <v>45</v>
      </c>
      <c r="B50" s="13">
        <f t="shared" si="2"/>
        <v>34.785</v>
      </c>
      <c r="C50" s="20">
        <v>8.308254514187446</v>
      </c>
      <c r="D50" s="17">
        <f>E50*4.1868</f>
        <v>34.785</v>
      </c>
      <c r="E50" s="20">
        <v>8.308254514187446</v>
      </c>
      <c r="F50" s="33">
        <f t="shared" si="1"/>
        <v>0</v>
      </c>
      <c r="G50" s="18"/>
    </row>
    <row r="51" spans="1:7" ht="15.75">
      <c r="A51" s="15">
        <v>46</v>
      </c>
      <c r="B51" s="13">
        <f t="shared" si="2"/>
        <v>35.233</v>
      </c>
      <c r="C51" s="20">
        <f>35.233/4.1868</f>
        <v>8.415257475876563</v>
      </c>
      <c r="D51" s="13">
        <f t="shared" si="0"/>
        <v>37.776</v>
      </c>
      <c r="E51" s="20">
        <f>37.776/4.1868</f>
        <v>9.022642591000288</v>
      </c>
      <c r="F51" s="33">
        <f t="shared" si="1"/>
        <v>0.6073851151237246</v>
      </c>
      <c r="G51" s="18"/>
    </row>
    <row r="52" spans="1:7" ht="15.75">
      <c r="A52" s="15">
        <v>47</v>
      </c>
      <c r="B52" s="13">
        <f t="shared" si="2"/>
        <v>8.835</v>
      </c>
      <c r="C52" s="19">
        <v>2.1102034967039267</v>
      </c>
      <c r="D52" s="17">
        <f>E52*4.1868</f>
        <v>8.835</v>
      </c>
      <c r="E52" s="19">
        <v>2.1102034967039267</v>
      </c>
      <c r="F52" s="33">
        <f t="shared" si="1"/>
        <v>0</v>
      </c>
      <c r="G52" s="18"/>
    </row>
    <row r="53" spans="1:7" ht="15.75">
      <c r="A53" s="15">
        <v>48</v>
      </c>
      <c r="B53" s="13">
        <v>0</v>
      </c>
      <c r="C53" s="20">
        <f>23.6/4.1868</f>
        <v>5.636763160408905</v>
      </c>
      <c r="D53" s="13">
        <v>0</v>
      </c>
      <c r="E53" s="20">
        <f>23.803/4.1868</f>
        <v>5.685248877424287</v>
      </c>
      <c r="F53" s="33">
        <f t="shared" si="1"/>
        <v>0.048485717015381624</v>
      </c>
      <c r="G53" s="18"/>
    </row>
    <row r="54" spans="1:7" ht="15.75">
      <c r="A54" s="15">
        <v>49</v>
      </c>
      <c r="B54" s="13">
        <f t="shared" si="2"/>
        <v>51.968</v>
      </c>
      <c r="C54" s="19">
        <f>51.968/4.1868</f>
        <v>12.41234355593771</v>
      </c>
      <c r="D54" s="13">
        <f t="shared" si="0"/>
        <v>53.688</v>
      </c>
      <c r="E54" s="19">
        <f>53.688/4.1868</f>
        <v>12.823158498137003</v>
      </c>
      <c r="F54" s="33">
        <f t="shared" si="1"/>
        <v>0.41081494219929304</v>
      </c>
      <c r="G54" s="18"/>
    </row>
    <row r="55" spans="1:7" ht="15.75">
      <c r="A55" s="15">
        <v>50</v>
      </c>
      <c r="B55" s="13">
        <f t="shared" si="2"/>
        <v>45.391</v>
      </c>
      <c r="C55" s="20">
        <f>45.391/4.1868</f>
        <v>10.841454093818669</v>
      </c>
      <c r="D55" s="13">
        <f t="shared" si="0"/>
        <v>47.527</v>
      </c>
      <c r="E55" s="20">
        <f>47.527/4.1868</f>
        <v>11.351628929015</v>
      </c>
      <c r="F55" s="33">
        <f t="shared" si="1"/>
        <v>0.5101748351963309</v>
      </c>
      <c r="G55" s="18"/>
    </row>
    <row r="56" spans="1:7" ht="15.75">
      <c r="A56" s="15">
        <v>51</v>
      </c>
      <c r="B56" s="13">
        <f t="shared" si="2"/>
        <v>43.291</v>
      </c>
      <c r="C56" s="20">
        <f>43.291/4.1868</f>
        <v>10.339877710900927</v>
      </c>
      <c r="D56" s="13">
        <f t="shared" si="0"/>
        <v>46.104</v>
      </c>
      <c r="E56" s="20">
        <f>46.104/4.1868</f>
        <v>11.011751218114073</v>
      </c>
      <c r="F56" s="33">
        <f t="shared" si="1"/>
        <v>0.6718735072131459</v>
      </c>
      <c r="G56" s="18"/>
    </row>
    <row r="57" spans="1:7" ht="15.75">
      <c r="A57" s="15">
        <v>52</v>
      </c>
      <c r="B57" s="13">
        <f t="shared" si="2"/>
        <v>47.482000000000006</v>
      </c>
      <c r="C57" s="20">
        <f>47.482/4.1868</f>
        <v>11.340880863666763</v>
      </c>
      <c r="D57" s="13">
        <f t="shared" si="0"/>
        <v>48.615</v>
      </c>
      <c r="E57" s="20">
        <f>48.615/4.1868</f>
        <v>11.611493264545716</v>
      </c>
      <c r="F57" s="33">
        <f t="shared" si="1"/>
        <v>0.270612400878953</v>
      </c>
      <c r="G57" s="18"/>
    </row>
    <row r="58" spans="1:7" ht="15.75">
      <c r="A58" s="15">
        <v>53</v>
      </c>
      <c r="B58" s="13">
        <f t="shared" si="2"/>
        <v>88.754</v>
      </c>
      <c r="C58" s="20">
        <f>88.754/4.1868</f>
        <v>21.198528709276776</v>
      </c>
      <c r="D58" s="13">
        <f t="shared" si="0"/>
        <v>88.754</v>
      </c>
      <c r="E58" s="20">
        <f>88.754/4.1868</f>
        <v>21.198528709276776</v>
      </c>
      <c r="F58" s="33">
        <f t="shared" si="1"/>
        <v>0</v>
      </c>
      <c r="G58" s="18"/>
    </row>
    <row r="59" spans="1:7" ht="15.75">
      <c r="A59" s="15">
        <v>54</v>
      </c>
      <c r="B59" s="13">
        <f t="shared" si="2"/>
        <v>87.881</v>
      </c>
      <c r="C59" s="19">
        <f>87.881/4.1868</f>
        <v>20.990016241520973</v>
      </c>
      <c r="D59" s="13">
        <f t="shared" si="0"/>
        <v>87.881</v>
      </c>
      <c r="E59" s="19">
        <f>87.881/4.1868</f>
        <v>20.990016241520973</v>
      </c>
      <c r="F59" s="33">
        <f t="shared" si="1"/>
        <v>0</v>
      </c>
      <c r="G59" s="18"/>
    </row>
    <row r="60" spans="1:7" ht="15.75">
      <c r="A60" s="15">
        <v>55</v>
      </c>
      <c r="B60" s="13">
        <f t="shared" si="2"/>
        <v>31.744</v>
      </c>
      <c r="C60" s="19">
        <f>31.744/4.1868</f>
        <v>7.581924142543231</v>
      </c>
      <c r="D60" s="17">
        <f>E60*4.1868</f>
        <v>33.191</v>
      </c>
      <c r="E60" s="19">
        <f>33.191/4.1868</f>
        <v>7.927534154963219</v>
      </c>
      <c r="F60" s="33">
        <f t="shared" si="1"/>
        <v>0.34561001241998746</v>
      </c>
      <c r="G60" s="18"/>
    </row>
    <row r="61" spans="1:7" ht="15.75">
      <c r="A61" s="15">
        <v>56</v>
      </c>
      <c r="B61" s="13">
        <f t="shared" si="2"/>
        <v>42.898</v>
      </c>
      <c r="C61" s="20">
        <f>42.898/4.1868</f>
        <v>10.246011273526323</v>
      </c>
      <c r="D61" s="13">
        <f t="shared" si="0"/>
        <v>44.113</v>
      </c>
      <c r="E61" s="20">
        <f>44.113/4.1868</f>
        <v>10.536209037928728</v>
      </c>
      <c r="F61" s="33">
        <f t="shared" si="1"/>
        <v>0.2901977644024054</v>
      </c>
      <c r="G61" s="18"/>
    </row>
    <row r="62" spans="1:7" ht="15.75">
      <c r="A62" s="15">
        <v>57</v>
      </c>
      <c r="B62" s="13">
        <f t="shared" si="2"/>
        <v>5.9996844</v>
      </c>
      <c r="C62" s="20">
        <v>1.433</v>
      </c>
      <c r="D62" s="13">
        <f t="shared" si="0"/>
        <v>7.7288328</v>
      </c>
      <c r="E62" s="20">
        <v>1.846</v>
      </c>
      <c r="F62" s="33">
        <f t="shared" si="1"/>
        <v>0.41300000000000003</v>
      </c>
      <c r="G62" s="18"/>
    </row>
    <row r="63" spans="1:7" ht="15.75">
      <c r="A63" s="15">
        <v>58</v>
      </c>
      <c r="B63" s="13">
        <f t="shared" si="2"/>
        <v>27.935</v>
      </c>
      <c r="C63" s="19">
        <f>27.935/4.1868</f>
        <v>6.672160122289099</v>
      </c>
      <c r="D63" s="13">
        <f t="shared" si="0"/>
        <v>29.490999999999996</v>
      </c>
      <c r="E63" s="19">
        <f>29.491/4.1868</f>
        <v>7.0438043374414825</v>
      </c>
      <c r="F63" s="33">
        <f t="shared" si="1"/>
        <v>0.3716442151523838</v>
      </c>
      <c r="G63" s="18"/>
    </row>
    <row r="64" spans="1:7" ht="15.75">
      <c r="A64" s="15">
        <v>59</v>
      </c>
      <c r="B64" s="13">
        <f t="shared" si="2"/>
        <v>1.828</v>
      </c>
      <c r="C64" s="19">
        <f>1.828/4.1868</f>
        <v>0.4366102990350626</v>
      </c>
      <c r="D64" s="13">
        <f t="shared" si="0"/>
        <v>1.84</v>
      </c>
      <c r="E64" s="19">
        <f>1.84/4.1868</f>
        <v>0.43947644979459255</v>
      </c>
      <c r="F64" s="33">
        <f t="shared" si="1"/>
        <v>0.0028661507595299507</v>
      </c>
      <c r="G64" s="18"/>
    </row>
    <row r="65" spans="1:7" ht="15.75">
      <c r="A65" s="15">
        <v>60</v>
      </c>
      <c r="B65" s="13">
        <f t="shared" si="2"/>
        <v>22.286</v>
      </c>
      <c r="C65" s="19">
        <f>22.286/4.1868</f>
        <v>5.322919652240375</v>
      </c>
      <c r="D65" s="13">
        <f t="shared" si="0"/>
        <v>25.826</v>
      </c>
      <c r="E65" s="19">
        <f>25.826/4.1868</f>
        <v>6.168434126301711</v>
      </c>
      <c r="F65" s="33">
        <f t="shared" si="1"/>
        <v>0.8455144740613356</v>
      </c>
      <c r="G65" s="18"/>
    </row>
    <row r="66" spans="1:7" ht="15.75">
      <c r="A66" s="15">
        <v>61</v>
      </c>
      <c r="B66" s="13">
        <f t="shared" si="2"/>
        <v>64.535</v>
      </c>
      <c r="C66" s="19">
        <f>64.535/4.1868</f>
        <v>15.41391993885545</v>
      </c>
      <c r="D66" s="13">
        <f t="shared" si="0"/>
        <v>66.434</v>
      </c>
      <c r="E66" s="19">
        <f>66.434/4.1868</f>
        <v>15.867488296551064</v>
      </c>
      <c r="F66" s="33">
        <f t="shared" si="1"/>
        <v>0.4535683576956142</v>
      </c>
      <c r="G66" s="18"/>
    </row>
    <row r="67" spans="1:7" ht="15.75">
      <c r="A67" s="15">
        <v>62</v>
      </c>
      <c r="B67" s="13">
        <f t="shared" si="2"/>
        <v>61.056</v>
      </c>
      <c r="C67" s="20">
        <f>61.056/4.1868</f>
        <v>14.582975064488393</v>
      </c>
      <c r="D67" s="13">
        <f t="shared" si="0"/>
        <v>64.926</v>
      </c>
      <c r="E67" s="20">
        <f>64.926/4.1868</f>
        <v>15.507308684436802</v>
      </c>
      <c r="F67" s="33">
        <f t="shared" si="1"/>
        <v>0.9243336199484098</v>
      </c>
      <c r="G67" s="18"/>
    </row>
    <row r="68" spans="1:7" ht="15.75">
      <c r="A68" s="15">
        <v>63</v>
      </c>
      <c r="B68" s="13">
        <f t="shared" si="2"/>
        <v>13.562</v>
      </c>
      <c r="C68" s="20">
        <f>13.562/4.1868</f>
        <v>3.2392280500621</v>
      </c>
      <c r="D68" s="13">
        <f t="shared" si="0"/>
        <v>16.614</v>
      </c>
      <c r="E68" s="20">
        <f>16.614/4.1868</f>
        <v>3.9681857265692178</v>
      </c>
      <c r="F68" s="33">
        <f t="shared" si="1"/>
        <v>0.7289576765071177</v>
      </c>
      <c r="G68" s="18"/>
    </row>
    <row r="69" spans="1:7" ht="15.75">
      <c r="A69" s="15">
        <v>64</v>
      </c>
      <c r="B69" s="13">
        <f t="shared" si="2"/>
        <v>36.439</v>
      </c>
      <c r="C69" s="20">
        <f>36.439/4.1868</f>
        <v>8.703305627209325</v>
      </c>
      <c r="D69" s="13">
        <f t="shared" si="0"/>
        <v>38.332</v>
      </c>
      <c r="E69" s="20">
        <f>38.332/4.1868</f>
        <v>9.155440909525176</v>
      </c>
      <c r="F69" s="33">
        <f t="shared" si="1"/>
        <v>0.4521352823158509</v>
      </c>
      <c r="G69" s="18"/>
    </row>
    <row r="70" spans="1:7" ht="15.75">
      <c r="A70" s="15">
        <v>65</v>
      </c>
      <c r="B70" s="13">
        <f t="shared" si="2"/>
        <v>50.133</v>
      </c>
      <c r="C70" s="20">
        <v>11.974061335626255</v>
      </c>
      <c r="D70" s="13">
        <f aca="true" t="shared" si="3" ref="D70:D133">E70*4.1868</f>
        <v>50.133</v>
      </c>
      <c r="E70" s="20">
        <v>11.974061335626255</v>
      </c>
      <c r="F70" s="33">
        <f aca="true" t="shared" si="4" ref="F70:F133">E70-C70</f>
        <v>0</v>
      </c>
      <c r="G70" s="18"/>
    </row>
    <row r="71" spans="1:7" ht="15.75">
      <c r="A71" s="15">
        <v>66</v>
      </c>
      <c r="B71" s="13">
        <f aca="true" t="shared" si="5" ref="B71:B134">C71*4.1868</f>
        <v>35.633</v>
      </c>
      <c r="C71" s="20">
        <f>35.633/4.1868</f>
        <v>8.510795834527563</v>
      </c>
      <c r="D71" s="13">
        <f t="shared" si="3"/>
        <v>36.315</v>
      </c>
      <c r="E71" s="20">
        <f>36.315/4.1868</f>
        <v>8.673688736027515</v>
      </c>
      <c r="F71" s="33">
        <f t="shared" si="4"/>
        <v>0.1628929014999514</v>
      </c>
      <c r="G71" s="18"/>
    </row>
    <row r="72" spans="1:7" ht="15.75">
      <c r="A72" s="15">
        <v>67</v>
      </c>
      <c r="B72" s="13">
        <f t="shared" si="5"/>
        <v>12.058</v>
      </c>
      <c r="C72" s="20">
        <f>12.058/4.1868</f>
        <v>2.880003821534346</v>
      </c>
      <c r="D72" s="13">
        <f t="shared" si="3"/>
        <v>12.872</v>
      </c>
      <c r="E72" s="20">
        <f>12.872/4.1868</f>
        <v>3.074424381389128</v>
      </c>
      <c r="F72" s="33">
        <f t="shared" si="4"/>
        <v>0.19442055985478168</v>
      </c>
      <c r="G72" s="18"/>
    </row>
    <row r="73" spans="1:7" ht="15.75">
      <c r="A73" s="15">
        <v>68</v>
      </c>
      <c r="B73" s="13">
        <f t="shared" si="5"/>
        <v>52.091</v>
      </c>
      <c r="C73" s="19">
        <f>52.091/4.1868</f>
        <v>12.441721601222891</v>
      </c>
      <c r="D73" s="13">
        <f t="shared" si="3"/>
        <v>54.654</v>
      </c>
      <c r="E73" s="19">
        <f>54.654/4.1868</f>
        <v>13.053883634279165</v>
      </c>
      <c r="F73" s="33">
        <f t="shared" si="4"/>
        <v>0.6121620330562738</v>
      </c>
      <c r="G73" s="18"/>
    </row>
    <row r="74" spans="1:7" ht="15.75">
      <c r="A74" s="15">
        <v>69</v>
      </c>
      <c r="B74" s="13">
        <f t="shared" si="5"/>
        <v>28.306</v>
      </c>
      <c r="C74" s="20">
        <f>28.306/4.1868</f>
        <v>6.760771949937901</v>
      </c>
      <c r="D74" s="13">
        <f t="shared" si="3"/>
        <v>31.205</v>
      </c>
      <c r="E74" s="20">
        <f>31.205/4.1868</f>
        <v>7.45318620426101</v>
      </c>
      <c r="F74" s="33">
        <f t="shared" si="4"/>
        <v>0.6924142543231095</v>
      </c>
      <c r="G74" s="18"/>
    </row>
    <row r="75" spans="1:7" ht="15.75">
      <c r="A75" s="15">
        <v>70</v>
      </c>
      <c r="B75" s="13">
        <f t="shared" si="5"/>
        <v>19.406</v>
      </c>
      <c r="C75" s="20">
        <f>19.406/4.1868</f>
        <v>4.635043469953186</v>
      </c>
      <c r="D75" s="13">
        <f t="shared" si="3"/>
        <v>20.638</v>
      </c>
      <c r="E75" s="20">
        <f>20.638/4.1868</f>
        <v>4.929301614598262</v>
      </c>
      <c r="F75" s="33">
        <f t="shared" si="4"/>
        <v>0.2942581446450756</v>
      </c>
      <c r="G75" s="18"/>
    </row>
    <row r="76" spans="1:7" ht="15.75">
      <c r="A76" s="15">
        <v>71</v>
      </c>
      <c r="B76" s="13">
        <f t="shared" si="5"/>
        <v>87.358</v>
      </c>
      <c r="C76" s="19">
        <f>87.358/4.1868</f>
        <v>20.865099837584793</v>
      </c>
      <c r="D76" s="13">
        <f t="shared" si="3"/>
        <v>92.232</v>
      </c>
      <c r="E76" s="19">
        <f>92.232/4.1868</f>
        <v>22.029234737747206</v>
      </c>
      <c r="F76" s="33">
        <f t="shared" si="4"/>
        <v>1.1641349001624128</v>
      </c>
      <c r="G76" s="18"/>
    </row>
    <row r="77" spans="1:7" ht="15.75">
      <c r="A77" s="15">
        <v>72</v>
      </c>
      <c r="B77" s="13">
        <f t="shared" si="5"/>
        <v>43.853</v>
      </c>
      <c r="C77" s="20">
        <f>43.853/4.1868</f>
        <v>10.47410910480558</v>
      </c>
      <c r="D77" s="13">
        <f t="shared" si="3"/>
        <v>46.877</v>
      </c>
      <c r="E77" s="20">
        <f>46.877/4.1868</f>
        <v>11.196379096207128</v>
      </c>
      <c r="F77" s="33">
        <f t="shared" si="4"/>
        <v>0.7222699914015482</v>
      </c>
      <c r="G77" s="18"/>
    </row>
    <row r="78" spans="1:7" ht="15.75">
      <c r="A78" s="15">
        <v>73</v>
      </c>
      <c r="B78" s="13">
        <v>0</v>
      </c>
      <c r="C78" s="20">
        <f>21.01/4.1868</f>
        <v>5.01815228814369</v>
      </c>
      <c r="D78" s="13">
        <v>0</v>
      </c>
      <c r="E78" s="20">
        <f>21.23/4.1868</f>
        <v>5.070698385401739</v>
      </c>
      <c r="F78" s="33">
        <f t="shared" si="4"/>
        <v>0.05254609725804915</v>
      </c>
      <c r="G78" s="18"/>
    </row>
    <row r="79" spans="1:7" ht="15.75">
      <c r="A79" s="15">
        <v>74</v>
      </c>
      <c r="B79" s="13">
        <f t="shared" si="5"/>
        <v>0</v>
      </c>
      <c r="C79" s="21">
        <v>0</v>
      </c>
      <c r="D79" s="13">
        <f t="shared" si="3"/>
        <v>0</v>
      </c>
      <c r="E79" s="21">
        <v>0</v>
      </c>
      <c r="F79" s="33">
        <f t="shared" si="4"/>
        <v>0</v>
      </c>
      <c r="G79" s="18"/>
    </row>
    <row r="80" spans="1:7" ht="15.75">
      <c r="A80" s="15">
        <v>75</v>
      </c>
      <c r="B80" s="13">
        <f t="shared" si="5"/>
        <v>75.01</v>
      </c>
      <c r="C80" s="19">
        <f>75.01/4.1868</f>
        <v>17.915830706028473</v>
      </c>
      <c r="D80" s="13">
        <f t="shared" si="3"/>
        <v>75.01</v>
      </c>
      <c r="E80" s="19">
        <f>75.01/4.1868</f>
        <v>17.915830706028473</v>
      </c>
      <c r="F80" s="33">
        <f t="shared" si="4"/>
        <v>0</v>
      </c>
      <c r="G80" s="18"/>
    </row>
    <row r="81" spans="1:7" ht="15.75">
      <c r="A81" s="15">
        <v>76</v>
      </c>
      <c r="B81" s="13">
        <f t="shared" si="5"/>
        <v>3.1066056</v>
      </c>
      <c r="C81" s="19">
        <v>0.742</v>
      </c>
      <c r="D81" s="13">
        <f t="shared" si="3"/>
        <v>4.0528224</v>
      </c>
      <c r="E81" s="19">
        <v>0.968</v>
      </c>
      <c r="F81" s="33">
        <f t="shared" si="4"/>
        <v>0.22599999999999998</v>
      </c>
      <c r="G81" s="18"/>
    </row>
    <row r="82" spans="1:7" ht="15.75">
      <c r="A82" s="15">
        <v>77</v>
      </c>
      <c r="B82" s="13">
        <v>0</v>
      </c>
      <c r="C82" s="21" t="s">
        <v>15</v>
      </c>
      <c r="D82" s="13">
        <v>0</v>
      </c>
      <c r="E82" s="21" t="s">
        <v>15</v>
      </c>
      <c r="F82" s="33">
        <v>0</v>
      </c>
      <c r="G82" s="18">
        <v>0.596</v>
      </c>
    </row>
    <row r="83" spans="1:7" ht="15.75">
      <c r="A83" s="15">
        <v>78</v>
      </c>
      <c r="B83" s="13">
        <f t="shared" si="5"/>
        <v>29.066</v>
      </c>
      <c r="C83" s="19">
        <f>29.066/4.1868</f>
        <v>6.942294831374797</v>
      </c>
      <c r="D83" s="13">
        <f t="shared" si="3"/>
        <v>29.746</v>
      </c>
      <c r="E83" s="19">
        <f>29.746/4.1868</f>
        <v>7.1047100410814945</v>
      </c>
      <c r="F83" s="33">
        <f t="shared" si="4"/>
        <v>0.16241520970669754</v>
      </c>
      <c r="G83" s="18"/>
    </row>
    <row r="84" spans="1:7" ht="15.75">
      <c r="A84" s="15">
        <v>79</v>
      </c>
      <c r="B84" s="13">
        <f t="shared" si="5"/>
        <v>37.22</v>
      </c>
      <c r="C84" s="20">
        <f>37.22/4.1868</f>
        <v>8.889844272475399</v>
      </c>
      <c r="D84" s="13">
        <f t="shared" si="3"/>
        <v>37.22</v>
      </c>
      <c r="E84" s="20">
        <f>37.22/4.1868</f>
        <v>8.889844272475399</v>
      </c>
      <c r="F84" s="33">
        <f t="shared" si="4"/>
        <v>0</v>
      </c>
      <c r="G84" s="18"/>
    </row>
    <row r="85" spans="1:7" ht="15.75">
      <c r="A85" s="15">
        <v>80</v>
      </c>
      <c r="B85" s="13">
        <f t="shared" si="5"/>
        <v>143.449</v>
      </c>
      <c r="C85" s="19">
        <f>143.449/4.1868</f>
        <v>34.26220502531767</v>
      </c>
      <c r="D85" s="13">
        <f t="shared" si="3"/>
        <v>143.449</v>
      </c>
      <c r="E85" s="19">
        <f>143.449/4.1868</f>
        <v>34.26220502531767</v>
      </c>
      <c r="F85" s="33">
        <f t="shared" si="4"/>
        <v>0</v>
      </c>
      <c r="G85" s="18"/>
    </row>
    <row r="86" spans="1:7" ht="15.75">
      <c r="A86" s="15">
        <v>81</v>
      </c>
      <c r="B86" s="13">
        <v>0</v>
      </c>
      <c r="C86" s="20" t="s">
        <v>14</v>
      </c>
      <c r="D86" s="13">
        <v>0</v>
      </c>
      <c r="E86" s="20" t="s">
        <v>14</v>
      </c>
      <c r="F86" s="33">
        <v>0</v>
      </c>
      <c r="G86" s="18">
        <v>0.9</v>
      </c>
    </row>
    <row r="87" spans="1:7" ht="15.75">
      <c r="A87" s="15">
        <v>82</v>
      </c>
      <c r="B87" s="13">
        <f t="shared" si="5"/>
        <v>23.51223144</v>
      </c>
      <c r="C87" s="20">
        <v>5.6158</v>
      </c>
      <c r="D87" s="13">
        <f t="shared" si="3"/>
        <v>24.486081119999998</v>
      </c>
      <c r="E87" s="20">
        <v>5.8484</v>
      </c>
      <c r="F87" s="33">
        <f t="shared" si="4"/>
        <v>0.2325999999999997</v>
      </c>
      <c r="G87" s="18"/>
    </row>
    <row r="88" spans="1:7" ht="15.75">
      <c r="A88" s="15">
        <v>83</v>
      </c>
      <c r="B88" s="13">
        <f t="shared" si="5"/>
        <v>47.47</v>
      </c>
      <c r="C88" s="20">
        <f>47.47/4.1868</f>
        <v>11.338014712907233</v>
      </c>
      <c r="D88" s="13">
        <f t="shared" si="3"/>
        <v>49.961</v>
      </c>
      <c r="E88" s="20">
        <f>49.961/4.1868</f>
        <v>11.932979841406326</v>
      </c>
      <c r="F88" s="33">
        <f t="shared" si="4"/>
        <v>0.5949651284990924</v>
      </c>
      <c r="G88" s="18"/>
    </row>
    <row r="89" spans="1:7" ht="15.75">
      <c r="A89" s="15">
        <v>84</v>
      </c>
      <c r="B89" s="13">
        <f t="shared" si="5"/>
        <v>3.1024187999999997</v>
      </c>
      <c r="C89" s="20">
        <v>0.741</v>
      </c>
      <c r="D89" s="13">
        <f t="shared" si="3"/>
        <v>3.1024187999999997</v>
      </c>
      <c r="E89" s="20">
        <v>0.741</v>
      </c>
      <c r="F89" s="33">
        <f t="shared" si="4"/>
        <v>0</v>
      </c>
      <c r="G89" s="18"/>
    </row>
    <row r="90" spans="1:7" ht="15.75">
      <c r="A90" s="15">
        <v>85</v>
      </c>
      <c r="B90" s="13">
        <f t="shared" si="5"/>
        <v>39.925</v>
      </c>
      <c r="C90" s="20">
        <f>39.925/4.1868</f>
        <v>9.535922422852774</v>
      </c>
      <c r="D90" s="13">
        <f t="shared" si="3"/>
        <v>40.418</v>
      </c>
      <c r="E90" s="20">
        <f>40.418/4.1868</f>
        <v>9.653673449890132</v>
      </c>
      <c r="F90" s="33">
        <f t="shared" si="4"/>
        <v>0.1177510270373574</v>
      </c>
      <c r="G90" s="18"/>
    </row>
    <row r="91" spans="1:7" ht="15.75">
      <c r="A91" s="15">
        <v>86</v>
      </c>
      <c r="B91" s="13">
        <f t="shared" si="5"/>
        <v>53.487</v>
      </c>
      <c r="C91" s="19">
        <f>53.487/4.1868</f>
        <v>12.775150472914877</v>
      </c>
      <c r="D91" s="13">
        <f t="shared" si="3"/>
        <v>53.487</v>
      </c>
      <c r="E91" s="19">
        <f>53.487/4.1868</f>
        <v>12.775150472914877</v>
      </c>
      <c r="F91" s="33">
        <f t="shared" si="4"/>
        <v>0</v>
      </c>
      <c r="G91" s="18"/>
    </row>
    <row r="92" spans="1:7" ht="15.75">
      <c r="A92" s="15">
        <v>87</v>
      </c>
      <c r="B92" s="13">
        <f t="shared" si="5"/>
        <v>1.004832</v>
      </c>
      <c r="C92" s="20">
        <v>0.24</v>
      </c>
      <c r="D92" s="13">
        <f t="shared" si="3"/>
        <v>2.7674748</v>
      </c>
      <c r="E92" s="20">
        <v>0.661</v>
      </c>
      <c r="F92" s="33">
        <f t="shared" si="4"/>
        <v>0.42100000000000004</v>
      </c>
      <c r="G92" s="18"/>
    </row>
    <row r="93" spans="1:7" ht="15.75">
      <c r="A93" s="15">
        <v>88</v>
      </c>
      <c r="B93" s="13">
        <v>0</v>
      </c>
      <c r="C93" s="20" t="s">
        <v>14</v>
      </c>
      <c r="D93" s="13">
        <v>0</v>
      </c>
      <c r="E93" s="20" t="s">
        <v>14</v>
      </c>
      <c r="F93" s="33">
        <v>0</v>
      </c>
      <c r="G93" s="18">
        <v>0.545</v>
      </c>
    </row>
    <row r="94" spans="1:7" ht="15.75">
      <c r="A94" s="15">
        <v>89</v>
      </c>
      <c r="B94" s="13">
        <f t="shared" si="5"/>
        <v>6.70474152</v>
      </c>
      <c r="C94" s="20">
        <v>1.6014</v>
      </c>
      <c r="D94" s="13">
        <f t="shared" si="3"/>
        <v>10.70313552</v>
      </c>
      <c r="E94" s="20">
        <v>2.5564</v>
      </c>
      <c r="F94" s="33">
        <f t="shared" si="4"/>
        <v>0.9550000000000001</v>
      </c>
      <c r="G94" s="18"/>
    </row>
    <row r="95" spans="1:7" ht="15.75">
      <c r="A95" s="15">
        <v>90</v>
      </c>
      <c r="B95" s="13">
        <f t="shared" si="5"/>
        <v>56.407919039999996</v>
      </c>
      <c r="C95" s="20">
        <v>13.4728</v>
      </c>
      <c r="D95" s="13">
        <f t="shared" si="3"/>
        <v>60.09648984</v>
      </c>
      <c r="E95" s="20">
        <v>14.3538</v>
      </c>
      <c r="F95" s="33">
        <f t="shared" si="4"/>
        <v>0.8810000000000002</v>
      </c>
      <c r="G95" s="18"/>
    </row>
    <row r="96" spans="1:7" ht="15.75">
      <c r="A96" s="15">
        <v>91</v>
      </c>
      <c r="B96" s="13">
        <f t="shared" si="5"/>
        <v>2.1839999999999997</v>
      </c>
      <c r="C96" s="19">
        <f>2.184/4.1868</f>
        <v>0.5216394382344511</v>
      </c>
      <c r="D96" s="13">
        <f t="shared" si="3"/>
        <v>2.467</v>
      </c>
      <c r="E96" s="19">
        <f>2.467/4.1868</f>
        <v>0.5892328269800325</v>
      </c>
      <c r="F96" s="33">
        <f t="shared" si="4"/>
        <v>0.0675933887455814</v>
      </c>
      <c r="G96" s="18"/>
    </row>
    <row r="97" spans="1:7" ht="15.75">
      <c r="A97" s="15">
        <v>92</v>
      </c>
      <c r="B97" s="13">
        <f t="shared" si="5"/>
        <v>12.97908</v>
      </c>
      <c r="C97" s="20">
        <v>3.1</v>
      </c>
      <c r="D97" s="13">
        <f t="shared" si="3"/>
        <v>14.235119999999998</v>
      </c>
      <c r="E97" s="20">
        <v>3.4</v>
      </c>
      <c r="F97" s="33">
        <f t="shared" si="4"/>
        <v>0.2999999999999998</v>
      </c>
      <c r="G97" s="18"/>
    </row>
    <row r="98" spans="1:7" ht="15.75">
      <c r="A98" s="15">
        <v>93</v>
      </c>
      <c r="B98" s="13">
        <f t="shared" si="5"/>
        <v>0.0376812</v>
      </c>
      <c r="C98" s="20">
        <v>0.009</v>
      </c>
      <c r="D98" s="13">
        <f t="shared" si="3"/>
        <v>0.0376812</v>
      </c>
      <c r="E98" s="20">
        <v>0.009</v>
      </c>
      <c r="F98" s="33">
        <f t="shared" si="4"/>
        <v>0</v>
      </c>
      <c r="G98" s="18"/>
    </row>
    <row r="99" spans="1:7" ht="15.75">
      <c r="A99" s="15">
        <v>94</v>
      </c>
      <c r="B99" s="13">
        <f t="shared" si="5"/>
        <v>1.3481496</v>
      </c>
      <c r="C99" s="19">
        <v>0.322</v>
      </c>
      <c r="D99" s="13">
        <f t="shared" si="3"/>
        <v>1.6370388</v>
      </c>
      <c r="E99" s="19">
        <v>0.391</v>
      </c>
      <c r="F99" s="33">
        <f t="shared" si="4"/>
        <v>0.069</v>
      </c>
      <c r="G99" s="18"/>
    </row>
    <row r="100" spans="1:7" ht="15.75">
      <c r="A100" s="15">
        <v>95</v>
      </c>
      <c r="B100" s="13">
        <f t="shared" si="5"/>
        <v>0.024</v>
      </c>
      <c r="C100" s="20">
        <v>0.005732301519059903</v>
      </c>
      <c r="D100" s="13">
        <f t="shared" si="3"/>
        <v>0.024</v>
      </c>
      <c r="E100" s="20">
        <v>0.005732301519059903</v>
      </c>
      <c r="F100" s="33">
        <f t="shared" si="4"/>
        <v>0</v>
      </c>
      <c r="G100" s="18"/>
    </row>
    <row r="101" spans="1:7" ht="15.75">
      <c r="A101" s="15">
        <v>96</v>
      </c>
      <c r="B101" s="13">
        <f t="shared" si="5"/>
        <v>37.971</v>
      </c>
      <c r="C101" s="20">
        <f>37.971/4.1868</f>
        <v>9.069217540842647</v>
      </c>
      <c r="D101" s="13">
        <f t="shared" si="3"/>
        <v>39.769</v>
      </c>
      <c r="E101" s="20">
        <f>39.769/4.1868</f>
        <v>9.498662462978887</v>
      </c>
      <c r="F101" s="33">
        <f t="shared" si="4"/>
        <v>0.4294449221362395</v>
      </c>
      <c r="G101" s="18"/>
    </row>
    <row r="102" spans="1:7" ht="15.75">
      <c r="A102" s="15">
        <v>97</v>
      </c>
      <c r="B102" s="13">
        <f t="shared" si="5"/>
        <v>21.728</v>
      </c>
      <c r="C102" s="19">
        <f>21.728/4.1868</f>
        <v>5.189643641922232</v>
      </c>
      <c r="D102" s="17">
        <f t="shared" si="3"/>
        <v>23.779</v>
      </c>
      <c r="E102" s="19">
        <f>23.779/4.1868</f>
        <v>5.679516575905226</v>
      </c>
      <c r="F102" s="33">
        <f t="shared" si="4"/>
        <v>0.48987293398299414</v>
      </c>
      <c r="G102" s="18"/>
    </row>
    <row r="103" spans="1:7" ht="15.75">
      <c r="A103" s="15">
        <v>98</v>
      </c>
      <c r="B103" s="13">
        <f t="shared" si="5"/>
        <v>0</v>
      </c>
      <c r="C103" s="19">
        <v>0</v>
      </c>
      <c r="D103" s="17">
        <f t="shared" si="3"/>
        <v>0</v>
      </c>
      <c r="E103" s="19">
        <v>0</v>
      </c>
      <c r="F103" s="33">
        <f t="shared" si="4"/>
        <v>0</v>
      </c>
      <c r="G103" s="18"/>
    </row>
    <row r="104" spans="1:7" ht="15.75">
      <c r="A104" s="15">
        <v>99</v>
      </c>
      <c r="B104" s="13">
        <f t="shared" si="5"/>
        <v>0.45636119999999997</v>
      </c>
      <c r="C104" s="20">
        <v>0.109</v>
      </c>
      <c r="D104" s="13">
        <f t="shared" si="3"/>
        <v>2.8930787999999996</v>
      </c>
      <c r="E104" s="20">
        <v>0.691</v>
      </c>
      <c r="F104" s="33">
        <f t="shared" si="4"/>
        <v>0.582</v>
      </c>
      <c r="G104" s="18"/>
    </row>
    <row r="105" spans="1:7" ht="15.75">
      <c r="A105" s="15">
        <v>100</v>
      </c>
      <c r="B105" s="13">
        <f t="shared" si="5"/>
        <v>23.03</v>
      </c>
      <c r="C105" s="20">
        <f>23.03/4.1868</f>
        <v>5.500620999331232</v>
      </c>
      <c r="D105" s="13">
        <f t="shared" si="3"/>
        <v>24.919</v>
      </c>
      <c r="E105" s="20">
        <f>24.919/4.1868</f>
        <v>5.951800898060571</v>
      </c>
      <c r="F105" s="33">
        <f t="shared" si="4"/>
        <v>0.4511798987293396</v>
      </c>
      <c r="G105" s="18"/>
    </row>
    <row r="106" spans="1:7" ht="15.75">
      <c r="A106" s="15">
        <v>101</v>
      </c>
      <c r="B106" s="13">
        <f t="shared" si="5"/>
        <v>31.56</v>
      </c>
      <c r="C106" s="20">
        <f>31.56/4.1868</f>
        <v>7.537976497563772</v>
      </c>
      <c r="D106" s="13">
        <f t="shared" si="3"/>
        <v>33.296</v>
      </c>
      <c r="E106" s="20">
        <f>33.296/4.1868</f>
        <v>7.952612974109105</v>
      </c>
      <c r="F106" s="33">
        <f t="shared" si="4"/>
        <v>0.41463647654533275</v>
      </c>
      <c r="G106" s="18"/>
    </row>
    <row r="107" spans="1:7" ht="15.75">
      <c r="A107" s="15">
        <v>102</v>
      </c>
      <c r="B107" s="13">
        <f t="shared" si="5"/>
        <v>41.062</v>
      </c>
      <c r="C107" s="21">
        <f>41.062/4.1868</f>
        <v>9.807490207318239</v>
      </c>
      <c r="D107" s="13">
        <f t="shared" si="3"/>
        <v>42.492</v>
      </c>
      <c r="E107" s="21">
        <f>42.492/4.1868</f>
        <v>10.149039839495558</v>
      </c>
      <c r="F107" s="33">
        <f t="shared" si="4"/>
        <v>0.34154963217731904</v>
      </c>
      <c r="G107" s="18"/>
    </row>
    <row r="108" spans="1:7" ht="15.75">
      <c r="A108" s="15">
        <v>103</v>
      </c>
      <c r="B108" s="13">
        <f t="shared" si="5"/>
        <v>2.435</v>
      </c>
      <c r="C108" s="19">
        <f>2.435/4.1868</f>
        <v>0.5815897582879527</v>
      </c>
      <c r="D108" s="13">
        <f t="shared" si="3"/>
        <v>4.648</v>
      </c>
      <c r="E108" s="19">
        <f>4.648/4.1868</f>
        <v>1.110155727524601</v>
      </c>
      <c r="F108" s="33">
        <f t="shared" si="4"/>
        <v>0.5285659692366483</v>
      </c>
      <c r="G108" s="18"/>
    </row>
    <row r="109" spans="1:7" ht="15.75">
      <c r="A109" s="15">
        <v>104</v>
      </c>
      <c r="B109" s="13">
        <f t="shared" si="5"/>
        <v>30.081</v>
      </c>
      <c r="C109" s="19">
        <f>30.081/4.1868</f>
        <v>7.184723416451705</v>
      </c>
      <c r="D109" s="13">
        <f t="shared" si="3"/>
        <v>31.837</v>
      </c>
      <c r="E109" s="19">
        <f>31.837/4.1868</f>
        <v>7.604136810929589</v>
      </c>
      <c r="F109" s="33">
        <f t="shared" si="4"/>
        <v>0.4194133944778837</v>
      </c>
      <c r="G109" s="18"/>
    </row>
    <row r="110" spans="1:7" ht="15.75">
      <c r="A110" s="15">
        <v>105</v>
      </c>
      <c r="B110" s="13">
        <f t="shared" si="5"/>
        <v>44.653</v>
      </c>
      <c r="C110" s="19">
        <f>44.653/4.1868</f>
        <v>10.665185822107576</v>
      </c>
      <c r="D110" s="13">
        <f t="shared" si="3"/>
        <v>45.381</v>
      </c>
      <c r="E110" s="19">
        <f>45.381/4.1868</f>
        <v>10.839065634852394</v>
      </c>
      <c r="F110" s="33">
        <f t="shared" si="4"/>
        <v>0.17387981274481845</v>
      </c>
      <c r="G110" s="18"/>
    </row>
    <row r="111" spans="1:7" ht="15.75">
      <c r="A111" s="15">
        <v>106</v>
      </c>
      <c r="B111" s="13">
        <v>0</v>
      </c>
      <c r="C111" s="19">
        <f>25.06/4.1868</f>
        <v>5.985478169485048</v>
      </c>
      <c r="D111" s="17">
        <v>0</v>
      </c>
      <c r="E111" s="19">
        <f>25.206/4.1868</f>
        <v>6.020349670392663</v>
      </c>
      <c r="F111" s="33">
        <f t="shared" si="4"/>
        <v>0.034871500907614816</v>
      </c>
      <c r="G111" s="18"/>
    </row>
    <row r="112" spans="1:7" ht="15.75">
      <c r="A112" s="15">
        <v>107</v>
      </c>
      <c r="B112" s="13">
        <f t="shared" si="5"/>
        <v>97.37</v>
      </c>
      <c r="C112" s="19">
        <f>97.37/4.1868</f>
        <v>23.25642495461928</v>
      </c>
      <c r="D112" s="17">
        <f t="shared" si="3"/>
        <v>101.274</v>
      </c>
      <c r="E112" s="19">
        <f>101.274/4.1868</f>
        <v>24.188879335053024</v>
      </c>
      <c r="F112" s="33">
        <f t="shared" si="4"/>
        <v>0.9324543804337431</v>
      </c>
      <c r="G112" s="18"/>
    </row>
    <row r="113" spans="1:7" ht="15.75">
      <c r="A113" s="15">
        <v>108</v>
      </c>
      <c r="B113" s="13">
        <f t="shared" si="5"/>
        <v>0.73269</v>
      </c>
      <c r="C113" s="19">
        <v>0.175</v>
      </c>
      <c r="D113" s="17">
        <f t="shared" si="3"/>
        <v>2.3153004</v>
      </c>
      <c r="E113" s="19">
        <v>0.553</v>
      </c>
      <c r="F113" s="33">
        <f t="shared" si="4"/>
        <v>0.37800000000000006</v>
      </c>
      <c r="G113" s="18"/>
    </row>
    <row r="114" spans="1:7" ht="15.75">
      <c r="A114" s="15">
        <v>109</v>
      </c>
      <c r="B114" s="13">
        <f t="shared" si="5"/>
        <v>5.606125199999999</v>
      </c>
      <c r="C114" s="19">
        <v>1.339</v>
      </c>
      <c r="D114" s="13">
        <f t="shared" si="3"/>
        <v>8.185194</v>
      </c>
      <c r="E114" s="19">
        <v>1.955</v>
      </c>
      <c r="F114" s="33">
        <f t="shared" si="4"/>
        <v>0.6160000000000001</v>
      </c>
      <c r="G114" s="18"/>
    </row>
    <row r="115" spans="1:7" ht="15.75">
      <c r="A115" s="15">
        <v>110</v>
      </c>
      <c r="B115" s="13">
        <f t="shared" si="5"/>
        <v>41.31</v>
      </c>
      <c r="C115" s="20">
        <f>41.31/4.1868</f>
        <v>9.866723989681859</v>
      </c>
      <c r="D115" s="13">
        <f t="shared" si="3"/>
        <v>43.293</v>
      </c>
      <c r="E115" s="20">
        <f>43.293/4.1868</f>
        <v>10.340355402694183</v>
      </c>
      <c r="F115" s="33">
        <f t="shared" si="4"/>
        <v>0.47363141301232403</v>
      </c>
      <c r="G115" s="18"/>
    </row>
    <row r="116" spans="1:7" ht="15.75">
      <c r="A116" s="15">
        <v>111</v>
      </c>
      <c r="B116" s="13">
        <f t="shared" si="5"/>
        <v>3.534</v>
      </c>
      <c r="C116" s="20">
        <v>0.8440813986815706</v>
      </c>
      <c r="D116" s="13">
        <f t="shared" si="3"/>
        <v>3.534</v>
      </c>
      <c r="E116" s="20">
        <v>0.8440813986815706</v>
      </c>
      <c r="F116" s="33">
        <f t="shared" si="4"/>
        <v>0</v>
      </c>
      <c r="G116" s="18"/>
    </row>
    <row r="117" spans="1:7" ht="15.75">
      <c r="A117" s="15">
        <v>112</v>
      </c>
      <c r="B117" s="13">
        <f t="shared" si="5"/>
        <v>3.767</v>
      </c>
      <c r="C117" s="25">
        <f>3.767/4.1868</f>
        <v>0.8997324925957773</v>
      </c>
      <c r="D117" s="13">
        <f t="shared" si="3"/>
        <v>5.766</v>
      </c>
      <c r="E117" s="25">
        <f>5.766/4.1868</f>
        <v>1.3771854399541417</v>
      </c>
      <c r="F117" s="33">
        <f t="shared" si="4"/>
        <v>0.4774529473583644</v>
      </c>
      <c r="G117" s="18"/>
    </row>
    <row r="118" spans="1:7" ht="15.75">
      <c r="A118" s="15">
        <v>113</v>
      </c>
      <c r="B118" s="13">
        <f t="shared" si="5"/>
        <v>0.576</v>
      </c>
      <c r="C118" s="20">
        <v>0.13757523645743766</v>
      </c>
      <c r="D118" s="13">
        <f t="shared" si="3"/>
        <v>0.576</v>
      </c>
      <c r="E118" s="20">
        <v>0.13757523645743766</v>
      </c>
      <c r="F118" s="33">
        <f t="shared" si="4"/>
        <v>0</v>
      </c>
      <c r="G118" s="18"/>
    </row>
    <row r="119" spans="1:7" ht="15.75">
      <c r="A119" s="15">
        <v>114</v>
      </c>
      <c r="B119" s="13">
        <f t="shared" si="5"/>
        <v>50.62299999999999</v>
      </c>
      <c r="C119" s="19">
        <f>50.623/4.1868</f>
        <v>12.091095824973726</v>
      </c>
      <c r="D119" s="13">
        <f t="shared" si="3"/>
        <v>53.376</v>
      </c>
      <c r="E119" s="19">
        <f>53.376/4.1868</f>
        <v>12.748638578389222</v>
      </c>
      <c r="F119" s="33">
        <f t="shared" si="4"/>
        <v>0.6575427534154965</v>
      </c>
      <c r="G119" s="18"/>
    </row>
    <row r="120" spans="1:7" ht="15.75">
      <c r="A120" s="15">
        <v>115</v>
      </c>
      <c r="B120" s="13">
        <f t="shared" si="5"/>
        <v>22.976</v>
      </c>
      <c r="C120" s="20">
        <f>22.976/4.1868</f>
        <v>5.4877233209133465</v>
      </c>
      <c r="D120" s="13">
        <f t="shared" si="3"/>
        <v>24.227</v>
      </c>
      <c r="E120" s="20">
        <f>24.227/4.1868</f>
        <v>5.786519537594344</v>
      </c>
      <c r="F120" s="33">
        <f t="shared" si="4"/>
        <v>0.2987962166809979</v>
      </c>
      <c r="G120" s="18"/>
    </row>
    <row r="121" spans="1:7" ht="15.75">
      <c r="A121" s="15">
        <v>116</v>
      </c>
      <c r="B121" s="13">
        <f t="shared" si="5"/>
        <v>181.385</v>
      </c>
      <c r="C121" s="19">
        <f>181.385/4.1868</f>
        <v>43.32306295977835</v>
      </c>
      <c r="D121" s="13">
        <f t="shared" si="3"/>
        <v>185.212</v>
      </c>
      <c r="E121" s="19">
        <f>185.212/4.1868</f>
        <v>44.23712620617178</v>
      </c>
      <c r="F121" s="33">
        <f t="shared" si="4"/>
        <v>0.9140632463934324</v>
      </c>
      <c r="G121" s="18"/>
    </row>
    <row r="122" spans="1:7" ht="15.75">
      <c r="A122" s="15">
        <v>117</v>
      </c>
      <c r="B122" s="13">
        <f t="shared" si="5"/>
        <v>16.321</v>
      </c>
      <c r="C122" s="20">
        <f>16.321/4.1868</f>
        <v>3.8982038788573616</v>
      </c>
      <c r="D122" s="13">
        <f t="shared" si="3"/>
        <v>16.367</v>
      </c>
      <c r="E122" s="20">
        <f>16.367/4.1868</f>
        <v>3.9091907901022265</v>
      </c>
      <c r="F122" s="33">
        <f t="shared" si="4"/>
        <v>0.010986911244864839</v>
      </c>
      <c r="G122" s="18"/>
    </row>
    <row r="123" spans="1:7" ht="15.75">
      <c r="A123" s="15">
        <v>118</v>
      </c>
      <c r="B123" s="13">
        <f t="shared" si="5"/>
        <v>25.647</v>
      </c>
      <c r="C123" s="19">
        <f>25.647/4.1868</f>
        <v>6.125680710805388</v>
      </c>
      <c r="D123" s="13">
        <f t="shared" si="3"/>
        <v>25.906</v>
      </c>
      <c r="E123" s="19">
        <f>25.906/4.1868</f>
        <v>6.187541798031909</v>
      </c>
      <c r="F123" s="33">
        <f t="shared" si="4"/>
        <v>0.061861087226521505</v>
      </c>
      <c r="G123" s="18"/>
    </row>
    <row r="124" spans="1:7" ht="15.75">
      <c r="A124" s="15">
        <v>119</v>
      </c>
      <c r="B124" s="13">
        <v>0</v>
      </c>
      <c r="C124" s="21" t="s">
        <v>15</v>
      </c>
      <c r="D124" s="13">
        <v>0</v>
      </c>
      <c r="E124" s="21" t="s">
        <v>15</v>
      </c>
      <c r="F124" s="33">
        <v>0</v>
      </c>
      <c r="G124" s="18">
        <v>0.593</v>
      </c>
    </row>
    <row r="125" spans="1:7" ht="15.75">
      <c r="A125" s="15">
        <v>120</v>
      </c>
      <c r="B125" s="13">
        <f t="shared" si="5"/>
        <v>2.08251432</v>
      </c>
      <c r="C125" s="20">
        <v>0.4974</v>
      </c>
      <c r="D125" s="13">
        <f t="shared" si="3"/>
        <v>2.7984571199999997</v>
      </c>
      <c r="E125" s="20">
        <v>0.6684</v>
      </c>
      <c r="F125" s="33">
        <f t="shared" si="4"/>
        <v>0.17099999999999999</v>
      </c>
      <c r="G125" s="18"/>
    </row>
    <row r="126" spans="1:7" ht="15.75">
      <c r="A126" s="15">
        <v>121</v>
      </c>
      <c r="B126" s="13">
        <f t="shared" si="5"/>
        <v>18.023</v>
      </c>
      <c r="C126" s="20">
        <f>18.023/4.1868</f>
        <v>4.304719594917359</v>
      </c>
      <c r="D126" s="13">
        <f t="shared" si="3"/>
        <v>18.023</v>
      </c>
      <c r="E126" s="20">
        <f>18.023/4.1868</f>
        <v>4.304719594917359</v>
      </c>
      <c r="F126" s="33">
        <f t="shared" si="4"/>
        <v>0</v>
      </c>
      <c r="G126" s="18"/>
    </row>
    <row r="127" spans="1:7" ht="15.75">
      <c r="A127" s="15">
        <v>122</v>
      </c>
      <c r="B127" s="13">
        <f t="shared" si="5"/>
        <v>34.41</v>
      </c>
      <c r="C127" s="20">
        <f>34.41/4.1868</f>
        <v>8.218687302952135</v>
      </c>
      <c r="D127" s="13">
        <f t="shared" si="3"/>
        <v>35.409</v>
      </c>
      <c r="E127" s="20">
        <f>35.409/4.1868</f>
        <v>8.457294353683004</v>
      </c>
      <c r="F127" s="33">
        <f t="shared" si="4"/>
        <v>0.2386070507308684</v>
      </c>
      <c r="G127" s="18"/>
    </row>
    <row r="128" spans="1:7" ht="15.75">
      <c r="A128" s="15">
        <v>123</v>
      </c>
      <c r="B128" s="13">
        <v>0</v>
      </c>
      <c r="C128" s="20" t="s">
        <v>14</v>
      </c>
      <c r="D128" s="17">
        <v>0</v>
      </c>
      <c r="E128" s="20" t="s">
        <v>14</v>
      </c>
      <c r="F128" s="33">
        <v>0</v>
      </c>
      <c r="G128" s="18">
        <v>0.98</v>
      </c>
    </row>
    <row r="129" spans="1:7" ht="15.75">
      <c r="A129" s="15">
        <v>124</v>
      </c>
      <c r="B129" s="13">
        <f t="shared" si="5"/>
        <v>6</v>
      </c>
      <c r="C129" s="20">
        <f>6/4.1868</f>
        <v>1.4330753797649758</v>
      </c>
      <c r="D129" s="13">
        <f t="shared" si="3"/>
        <v>6.348</v>
      </c>
      <c r="E129" s="20">
        <f>6.348/4.1868</f>
        <v>1.5161937517913442</v>
      </c>
      <c r="F129" s="33">
        <f t="shared" si="4"/>
        <v>0.0831183720263684</v>
      </c>
      <c r="G129" s="18"/>
    </row>
    <row r="130" spans="1:7" ht="15.75">
      <c r="A130" s="15">
        <v>125</v>
      </c>
      <c r="B130" s="13">
        <f t="shared" si="5"/>
        <v>51.225</v>
      </c>
      <c r="C130" s="20">
        <f>51.225/4.1868</f>
        <v>12.23488105474348</v>
      </c>
      <c r="D130" s="13">
        <f t="shared" si="3"/>
        <v>55.611</v>
      </c>
      <c r="E130" s="20">
        <f>55.611/4.1868</f>
        <v>13.282459157351676</v>
      </c>
      <c r="F130" s="33">
        <f t="shared" si="4"/>
        <v>1.0475781026081954</v>
      </c>
      <c r="G130" s="18"/>
    </row>
    <row r="131" spans="1:7" ht="15.75">
      <c r="A131" s="15">
        <v>126</v>
      </c>
      <c r="B131" s="13">
        <f t="shared" si="5"/>
        <v>82.592</v>
      </c>
      <c r="C131" s="20">
        <f>82.592/4.1868</f>
        <v>19.726760294258145</v>
      </c>
      <c r="D131" s="13">
        <f t="shared" si="3"/>
        <v>85.78</v>
      </c>
      <c r="E131" s="20">
        <f>85.78/4.1868</f>
        <v>20.488201012706604</v>
      </c>
      <c r="F131" s="33">
        <f t="shared" si="4"/>
        <v>0.7614407184484584</v>
      </c>
      <c r="G131" s="18"/>
    </row>
    <row r="132" spans="1:7" ht="15.75">
      <c r="A132" s="15">
        <v>127</v>
      </c>
      <c r="B132" s="13">
        <f t="shared" si="5"/>
        <v>0.8750412</v>
      </c>
      <c r="C132" s="19">
        <v>0.209</v>
      </c>
      <c r="D132" s="13">
        <f t="shared" si="3"/>
        <v>2.357</v>
      </c>
      <c r="E132" s="20">
        <f>2.357/4.1868</f>
        <v>0.562959778351008</v>
      </c>
      <c r="F132" s="33">
        <v>0.354</v>
      </c>
      <c r="G132" s="18"/>
    </row>
    <row r="133" spans="1:7" ht="15.75">
      <c r="A133" s="15">
        <v>128</v>
      </c>
      <c r="B133" s="13">
        <f t="shared" si="5"/>
        <v>10.644</v>
      </c>
      <c r="C133" s="20">
        <f>10.644/4.1868</f>
        <v>2.542275723703067</v>
      </c>
      <c r="D133" s="13">
        <f t="shared" si="3"/>
        <v>10.644</v>
      </c>
      <c r="E133" s="20">
        <f>10.644/4.1868</f>
        <v>2.542275723703067</v>
      </c>
      <c r="F133" s="33">
        <f t="shared" si="4"/>
        <v>0</v>
      </c>
      <c r="G133" s="18"/>
    </row>
    <row r="134" spans="1:7" ht="15.75">
      <c r="A134" s="15">
        <v>129</v>
      </c>
      <c r="B134" s="13">
        <f t="shared" si="5"/>
        <v>52.01</v>
      </c>
      <c r="C134" s="20">
        <f>52.01/4.1868</f>
        <v>12.422375083596064</v>
      </c>
      <c r="D134" s="13">
        <f aca="true" t="shared" si="6" ref="D134:D157">E134*4.1868</f>
        <v>54.407</v>
      </c>
      <c r="E134" s="20">
        <f>54.407/4.1868</f>
        <v>12.994888697812172</v>
      </c>
      <c r="F134" s="33">
        <f aca="true" t="shared" si="7" ref="F134:F157">E134-C134</f>
        <v>0.572513614216108</v>
      </c>
      <c r="G134" s="18"/>
    </row>
    <row r="135" spans="1:7" ht="15.75">
      <c r="A135" s="15">
        <v>130</v>
      </c>
      <c r="B135" s="13">
        <f aca="true" t="shared" si="8" ref="B135:B157">C135*4.1868</f>
        <v>0</v>
      </c>
      <c r="C135" s="19">
        <v>0</v>
      </c>
      <c r="D135" s="17">
        <f t="shared" si="6"/>
        <v>0</v>
      </c>
      <c r="E135" s="19">
        <v>0</v>
      </c>
      <c r="F135" s="33">
        <f t="shared" si="7"/>
        <v>0</v>
      </c>
      <c r="G135" s="18"/>
    </row>
    <row r="136" spans="1:7" ht="15.75">
      <c r="A136" s="15">
        <v>131</v>
      </c>
      <c r="B136" s="13">
        <f t="shared" si="8"/>
        <v>12.5604</v>
      </c>
      <c r="C136" s="20">
        <v>3</v>
      </c>
      <c r="D136" s="13">
        <f t="shared" si="6"/>
        <v>14.235119999999998</v>
      </c>
      <c r="E136" s="20">
        <v>3.4</v>
      </c>
      <c r="F136" s="33">
        <f t="shared" si="7"/>
        <v>0.3999999999999999</v>
      </c>
      <c r="G136" s="18"/>
    </row>
    <row r="137" spans="1:7" ht="15.75">
      <c r="A137" s="15">
        <v>132</v>
      </c>
      <c r="B137" s="13">
        <f t="shared" si="8"/>
        <v>2.301</v>
      </c>
      <c r="C137" s="19">
        <f>2.301/4.1868</f>
        <v>0.5495844081398682</v>
      </c>
      <c r="D137" s="17">
        <f t="shared" si="6"/>
        <v>3.009</v>
      </c>
      <c r="E137" s="19">
        <f>3.009/4.1868</f>
        <v>0.7186873029521352</v>
      </c>
      <c r="F137" s="33">
        <f t="shared" si="7"/>
        <v>0.16910289481226704</v>
      </c>
      <c r="G137" s="18"/>
    </row>
    <row r="138" spans="1:7" ht="15.75">
      <c r="A138" s="15">
        <v>133</v>
      </c>
      <c r="B138" s="13">
        <f t="shared" si="8"/>
        <v>6.828</v>
      </c>
      <c r="C138" s="20">
        <f>6.828/4.1868</f>
        <v>1.6308397821725424</v>
      </c>
      <c r="D138" s="13">
        <f t="shared" si="6"/>
        <v>8.624</v>
      </c>
      <c r="E138" s="20">
        <f>8.624/4.1868</f>
        <v>2.0598070125155252</v>
      </c>
      <c r="F138" s="33">
        <f t="shared" si="7"/>
        <v>0.4289672303429828</v>
      </c>
      <c r="G138" s="18"/>
    </row>
    <row r="139" spans="1:7" ht="15.75">
      <c r="A139" s="15">
        <v>134</v>
      </c>
      <c r="B139" s="13">
        <f t="shared" si="8"/>
        <v>35.5878</v>
      </c>
      <c r="C139" s="20">
        <v>8.5</v>
      </c>
      <c r="D139" s="13">
        <f t="shared" si="6"/>
        <v>40.193279999999994</v>
      </c>
      <c r="E139" s="20">
        <v>9.6</v>
      </c>
      <c r="F139" s="33">
        <f t="shared" si="7"/>
        <v>1.0999999999999996</v>
      </c>
      <c r="G139" s="18"/>
    </row>
    <row r="140" spans="1:7" ht="15.75">
      <c r="A140" s="15">
        <v>135</v>
      </c>
      <c r="B140" s="13">
        <v>0</v>
      </c>
      <c r="C140" s="20" t="s">
        <v>14</v>
      </c>
      <c r="D140" s="13">
        <v>0</v>
      </c>
      <c r="E140" s="20" t="s">
        <v>14</v>
      </c>
      <c r="F140" s="33">
        <v>0</v>
      </c>
      <c r="G140" s="18">
        <v>0.903</v>
      </c>
    </row>
    <row r="141" spans="1:7" ht="15.75">
      <c r="A141" s="15">
        <v>136</v>
      </c>
      <c r="B141" s="13">
        <f t="shared" si="8"/>
        <v>11.976</v>
      </c>
      <c r="C141" s="20">
        <f>11.976/4.1868</f>
        <v>2.8604184580108916</v>
      </c>
      <c r="D141" s="13">
        <f t="shared" si="6"/>
        <v>12.596</v>
      </c>
      <c r="E141" s="20">
        <f>12.596/4.1868</f>
        <v>3.008502913919939</v>
      </c>
      <c r="F141" s="33">
        <f t="shared" si="7"/>
        <v>0.14808445590904729</v>
      </c>
      <c r="G141" s="18"/>
    </row>
    <row r="142" spans="1:7" ht="15.75">
      <c r="A142" s="15">
        <v>137</v>
      </c>
      <c r="B142" s="13">
        <f t="shared" si="8"/>
        <v>5.966</v>
      </c>
      <c r="C142" s="19">
        <f>5.966/4.1868</f>
        <v>1.424954619279641</v>
      </c>
      <c r="D142" s="17">
        <f t="shared" si="6"/>
        <v>5.971</v>
      </c>
      <c r="E142" s="19">
        <f>5.971/4.1868</f>
        <v>1.4261488487627783</v>
      </c>
      <c r="F142" s="33">
        <f t="shared" si="7"/>
        <v>0.001194229483137299</v>
      </c>
      <c r="G142" s="18"/>
    </row>
    <row r="143" spans="1:7" ht="15.75">
      <c r="A143" s="15">
        <v>138</v>
      </c>
      <c r="B143" s="13">
        <f t="shared" si="8"/>
        <v>0</v>
      </c>
      <c r="C143" s="20">
        <v>0</v>
      </c>
      <c r="D143" s="13">
        <f t="shared" si="6"/>
        <v>0</v>
      </c>
      <c r="E143" s="20">
        <v>0</v>
      </c>
      <c r="F143" s="33">
        <f t="shared" si="7"/>
        <v>0</v>
      </c>
      <c r="G143" s="18"/>
    </row>
    <row r="144" spans="1:7" ht="15.75">
      <c r="A144" s="15">
        <v>139</v>
      </c>
      <c r="B144" s="13">
        <f t="shared" si="8"/>
        <v>12.686</v>
      </c>
      <c r="C144" s="19">
        <f>12.686/4.1868</f>
        <v>3.029999044616414</v>
      </c>
      <c r="D144" s="13">
        <f t="shared" si="6"/>
        <v>14.671</v>
      </c>
      <c r="E144" s="19">
        <f>14.671/4.1868</f>
        <v>3.504108149421993</v>
      </c>
      <c r="F144" s="33">
        <f t="shared" si="7"/>
        <v>0.4741091048055792</v>
      </c>
      <c r="G144" s="18"/>
    </row>
    <row r="145" spans="1:7" ht="15.75">
      <c r="A145" s="15">
        <v>140</v>
      </c>
      <c r="B145" s="13">
        <f t="shared" si="8"/>
        <v>43.982</v>
      </c>
      <c r="C145" s="19">
        <f>43.982/4.1868</f>
        <v>10.504920225470526</v>
      </c>
      <c r="D145" s="13">
        <f t="shared" si="6"/>
        <v>45.566</v>
      </c>
      <c r="E145" s="19">
        <f>45.566/4.1868</f>
        <v>10.88325212572848</v>
      </c>
      <c r="F145" s="33">
        <f t="shared" si="7"/>
        <v>0.3783319002579546</v>
      </c>
      <c r="G145" s="18"/>
    </row>
    <row r="146" spans="1:7" ht="15.75">
      <c r="A146" s="15">
        <v>141</v>
      </c>
      <c r="B146" s="13">
        <f t="shared" si="8"/>
        <v>47.763014399999996</v>
      </c>
      <c r="C146" s="20">
        <v>11.408</v>
      </c>
      <c r="D146" s="13">
        <f t="shared" si="6"/>
        <v>50.9366088</v>
      </c>
      <c r="E146" s="20">
        <v>12.166</v>
      </c>
      <c r="F146" s="33">
        <f t="shared" si="7"/>
        <v>0.7580000000000009</v>
      </c>
      <c r="G146" s="18"/>
    </row>
    <row r="147" spans="1:7" ht="15.75">
      <c r="A147" s="15">
        <v>142</v>
      </c>
      <c r="B147" s="13">
        <f t="shared" si="8"/>
        <v>64.308</v>
      </c>
      <c r="C147" s="19">
        <f>64.308/4.1868</f>
        <v>15.359701920321012</v>
      </c>
      <c r="D147" s="13">
        <f t="shared" si="6"/>
        <v>66.203</v>
      </c>
      <c r="E147" s="19">
        <f>66.203/4.1868</f>
        <v>15.812314894430115</v>
      </c>
      <c r="F147" s="33">
        <f t="shared" si="7"/>
        <v>0.45261297410910295</v>
      </c>
      <c r="G147" s="18"/>
    </row>
    <row r="148" spans="1:7" ht="15.75">
      <c r="A148" s="15">
        <v>143</v>
      </c>
      <c r="B148" s="13">
        <f t="shared" si="8"/>
        <v>8.562006</v>
      </c>
      <c r="C148" s="20">
        <v>2.045</v>
      </c>
      <c r="D148" s="17">
        <f t="shared" si="6"/>
        <v>8.562006</v>
      </c>
      <c r="E148" s="20">
        <v>2.045</v>
      </c>
      <c r="F148" s="33">
        <f t="shared" si="7"/>
        <v>0</v>
      </c>
      <c r="G148" s="18"/>
    </row>
    <row r="149" spans="1:7" ht="15.75">
      <c r="A149" s="15">
        <v>144</v>
      </c>
      <c r="B149" s="13">
        <f t="shared" si="8"/>
        <v>117.125</v>
      </c>
      <c r="C149" s="20">
        <f>117.125/4.1868</f>
        <v>27.974825642495464</v>
      </c>
      <c r="D149" s="13">
        <f t="shared" si="6"/>
        <v>117.125</v>
      </c>
      <c r="E149" s="20">
        <f>117.125/4.1868</f>
        <v>27.974825642495464</v>
      </c>
      <c r="F149" s="33">
        <f t="shared" si="7"/>
        <v>0</v>
      </c>
      <c r="G149" s="18"/>
    </row>
    <row r="150" spans="1:7" ht="15.75">
      <c r="A150" s="15">
        <v>145</v>
      </c>
      <c r="B150" s="13">
        <f t="shared" si="8"/>
        <v>30.702</v>
      </c>
      <c r="C150" s="20">
        <f>30.702/4.1868</f>
        <v>7.333046718257381</v>
      </c>
      <c r="D150" s="13">
        <f t="shared" si="6"/>
        <v>31.193</v>
      </c>
      <c r="E150" s="20">
        <f>31.193/4.1868</f>
        <v>7.450320053501481</v>
      </c>
      <c r="F150" s="33">
        <f t="shared" si="7"/>
        <v>0.1172733352441</v>
      </c>
      <c r="G150" s="18"/>
    </row>
    <row r="151" spans="1:7" ht="15.75">
      <c r="A151" s="15">
        <v>146</v>
      </c>
      <c r="B151" s="13">
        <f t="shared" si="8"/>
        <v>14.595</v>
      </c>
      <c r="C151" s="19">
        <f>14.595/4.1868</f>
        <v>3.4859558612783035</v>
      </c>
      <c r="D151" s="13">
        <f t="shared" si="6"/>
        <v>16.949999999999996</v>
      </c>
      <c r="E151" s="19">
        <f>16.95/4.1868</f>
        <v>4.048437947836056</v>
      </c>
      <c r="F151" s="33">
        <f t="shared" si="7"/>
        <v>0.5624820865577522</v>
      </c>
      <c r="G151" s="18"/>
    </row>
    <row r="152" spans="1:7" ht="15.75">
      <c r="A152" s="15">
        <v>147</v>
      </c>
      <c r="B152" s="13">
        <f t="shared" si="8"/>
        <v>7.682999999999999</v>
      </c>
      <c r="C152" s="20">
        <v>1.8350530237890512</v>
      </c>
      <c r="D152" s="17">
        <f t="shared" si="6"/>
        <v>7.682999999999999</v>
      </c>
      <c r="E152" s="20">
        <v>1.8350530237890512</v>
      </c>
      <c r="F152" s="33">
        <f t="shared" si="7"/>
        <v>0</v>
      </c>
      <c r="G152" s="18"/>
    </row>
    <row r="153" spans="1:7" ht="15.75">
      <c r="A153" s="15">
        <v>148</v>
      </c>
      <c r="B153" s="13">
        <f t="shared" si="8"/>
        <v>35.954</v>
      </c>
      <c r="C153" s="20">
        <f>35.954/4.1868</f>
        <v>8.58746536734499</v>
      </c>
      <c r="D153" s="13">
        <f t="shared" si="6"/>
        <v>35.954</v>
      </c>
      <c r="E153" s="20">
        <f>35.954/4.1868</f>
        <v>8.58746536734499</v>
      </c>
      <c r="F153" s="33">
        <f t="shared" si="7"/>
        <v>0</v>
      </c>
      <c r="G153" s="18"/>
    </row>
    <row r="154" spans="1:7" ht="15.75">
      <c r="A154" s="15">
        <v>149</v>
      </c>
      <c r="B154" s="13">
        <v>0</v>
      </c>
      <c r="C154" s="21" t="s">
        <v>15</v>
      </c>
      <c r="D154" s="13">
        <v>0</v>
      </c>
      <c r="E154" s="21" t="s">
        <v>15</v>
      </c>
      <c r="F154" s="33">
        <v>0</v>
      </c>
      <c r="G154" s="18">
        <v>0.597</v>
      </c>
    </row>
    <row r="155" spans="1:7" ht="15.75">
      <c r="A155" s="15">
        <v>150</v>
      </c>
      <c r="B155" s="13">
        <f t="shared" si="8"/>
        <v>96.3843228</v>
      </c>
      <c r="C155" s="25">
        <v>23.021</v>
      </c>
      <c r="D155" s="13">
        <f t="shared" si="6"/>
        <v>99.8803008</v>
      </c>
      <c r="E155" s="25">
        <v>23.856</v>
      </c>
      <c r="F155" s="33">
        <f t="shared" si="7"/>
        <v>0.8350000000000009</v>
      </c>
      <c r="G155" s="18"/>
    </row>
    <row r="156" spans="1:7" ht="15.75">
      <c r="A156" s="15">
        <v>151</v>
      </c>
      <c r="B156" s="13">
        <f t="shared" si="8"/>
        <v>44.702463599999994</v>
      </c>
      <c r="C156" s="26">
        <v>10.677</v>
      </c>
      <c r="D156" s="13">
        <f t="shared" si="6"/>
        <v>44.702463599999994</v>
      </c>
      <c r="E156" s="26">
        <v>10.677</v>
      </c>
      <c r="F156" s="33">
        <f t="shared" si="7"/>
        <v>0</v>
      </c>
      <c r="G156" s="18"/>
    </row>
    <row r="157" spans="1:7" ht="15.75">
      <c r="A157" s="15">
        <v>152</v>
      </c>
      <c r="B157" s="13">
        <f t="shared" si="8"/>
        <v>61.34959908</v>
      </c>
      <c r="C157" s="27">
        <v>14.6531</v>
      </c>
      <c r="D157" s="13">
        <f t="shared" si="6"/>
        <v>66.24061884</v>
      </c>
      <c r="E157" s="27">
        <v>15.8213</v>
      </c>
      <c r="F157" s="33">
        <f t="shared" si="7"/>
        <v>1.1682000000000006</v>
      </c>
      <c r="G157" s="18"/>
    </row>
    <row r="158" spans="1:8" ht="15.75">
      <c r="A158" s="5" t="s">
        <v>4</v>
      </c>
      <c r="B158" s="6"/>
      <c r="C158" s="29"/>
      <c r="D158" s="8"/>
      <c r="E158" s="29"/>
      <c r="F158" s="47">
        <v>66.367</v>
      </c>
      <c r="G158" s="47"/>
      <c r="H158" s="4"/>
    </row>
    <row r="159" spans="1:7" ht="15.75">
      <c r="A159" s="16" t="s">
        <v>3</v>
      </c>
      <c r="B159" s="16"/>
      <c r="C159" s="30"/>
      <c r="D159" s="16"/>
      <c r="E159" s="30"/>
      <c r="F159" s="44">
        <v>57.679</v>
      </c>
      <c r="G159" s="45"/>
    </row>
    <row r="160" spans="1:7" ht="15.75">
      <c r="A160" s="16" t="s">
        <v>13</v>
      </c>
      <c r="B160" s="16"/>
      <c r="C160" s="30"/>
      <c r="D160" s="16"/>
      <c r="E160" s="30"/>
      <c r="F160" s="44">
        <v>0</v>
      </c>
      <c r="G160" s="45"/>
    </row>
    <row r="161" spans="1:7" ht="15.75">
      <c r="A161" s="35" t="s">
        <v>5</v>
      </c>
      <c r="B161" s="35"/>
      <c r="C161" s="35"/>
      <c r="D161" s="35"/>
      <c r="E161" s="35"/>
      <c r="F161" s="48">
        <f>F158-F159</f>
        <v>8.688000000000002</v>
      </c>
      <c r="G161" s="48"/>
    </row>
    <row r="162" spans="1:7" ht="15.75">
      <c r="A162" s="35" t="s">
        <v>7</v>
      </c>
      <c r="B162" s="35"/>
      <c r="C162" s="35"/>
      <c r="D162" s="35"/>
      <c r="E162" s="35"/>
      <c r="F162" s="46">
        <f>F161/7537.6</f>
        <v>0.0011526215240925497</v>
      </c>
      <c r="G162" s="46"/>
    </row>
    <row r="163" spans="1:7" ht="15.75">
      <c r="A163" s="1"/>
      <c r="B163" s="1"/>
      <c r="C163" s="31"/>
      <c r="D163" s="9"/>
      <c r="E163" s="31"/>
      <c r="F163" s="1"/>
      <c r="G163" s="10"/>
    </row>
    <row r="164" spans="1:7" ht="15.75">
      <c r="A164" s="1"/>
      <c r="B164" s="1"/>
      <c r="C164" s="31"/>
      <c r="D164" s="9"/>
      <c r="E164" s="31"/>
      <c r="F164" s="1"/>
      <c r="G164" s="10"/>
    </row>
    <row r="165" spans="1:7" ht="15.75">
      <c r="A165" s="1"/>
      <c r="B165" s="1"/>
      <c r="C165" s="31"/>
      <c r="D165" s="9"/>
      <c r="E165" s="31"/>
      <c r="F165" s="1"/>
      <c r="G165" s="10"/>
    </row>
    <row r="166" spans="1:7" ht="15.75">
      <c r="A166" s="1"/>
      <c r="B166" s="1"/>
      <c r="C166" s="31"/>
      <c r="D166" s="9"/>
      <c r="E166" s="31"/>
      <c r="F166" s="1"/>
      <c r="G166" s="10"/>
    </row>
    <row r="167" spans="1:7" ht="15.75">
      <c r="A167" s="1"/>
      <c r="B167" s="1"/>
      <c r="C167" s="31"/>
      <c r="D167" s="9"/>
      <c r="E167" s="31"/>
      <c r="F167" s="1"/>
      <c r="G167" s="10"/>
    </row>
    <row r="168" spans="1:7" ht="15.75">
      <c r="A168" s="1"/>
      <c r="B168" s="1"/>
      <c r="C168" s="31"/>
      <c r="D168" s="9"/>
      <c r="E168" s="31"/>
      <c r="F168" s="1"/>
      <c r="G168" s="10"/>
    </row>
    <row r="169" spans="1:7" ht="15.75">
      <c r="A169" s="1"/>
      <c r="B169" s="1"/>
      <c r="C169" s="31"/>
      <c r="D169" s="9"/>
      <c r="E169" s="31"/>
      <c r="F169" s="1"/>
      <c r="G169" s="10"/>
    </row>
    <row r="170" spans="1:7" ht="15.75">
      <c r="A170" s="1"/>
      <c r="B170" s="1"/>
      <c r="C170" s="31"/>
      <c r="D170" s="9"/>
      <c r="E170" s="31"/>
      <c r="F170" s="1"/>
      <c r="G170" s="10"/>
    </row>
    <row r="171" spans="1:7" ht="15.75">
      <c r="A171" s="1"/>
      <c r="B171" s="1"/>
      <c r="C171" s="31"/>
      <c r="D171" s="9"/>
      <c r="E171" s="31"/>
      <c r="F171" s="1"/>
      <c r="G171" s="10"/>
    </row>
    <row r="172" spans="1:7" ht="15.75">
      <c r="A172" s="1"/>
      <c r="B172" s="1"/>
      <c r="C172" s="31"/>
      <c r="D172" s="9"/>
      <c r="E172" s="31"/>
      <c r="F172" s="1"/>
      <c r="G172" s="10"/>
    </row>
    <row r="173" spans="1:7" ht="15.75">
      <c r="A173" s="1"/>
      <c r="B173" s="1"/>
      <c r="C173" s="31"/>
      <c r="D173" s="9"/>
      <c r="E173" s="31"/>
      <c r="F173" s="1"/>
      <c r="G173" s="10"/>
    </row>
    <row r="174" spans="1:7" ht="15.75">
      <c r="A174" s="1"/>
      <c r="B174" s="1"/>
      <c r="C174" s="31"/>
      <c r="D174" s="9"/>
      <c r="E174" s="31"/>
      <c r="F174" s="1"/>
      <c r="G174" s="10"/>
    </row>
    <row r="175" spans="1:7" ht="15.75">
      <c r="A175" s="1"/>
      <c r="B175" s="1"/>
      <c r="C175" s="31"/>
      <c r="D175" s="9"/>
      <c r="E175" s="31"/>
      <c r="F175" s="1"/>
      <c r="G175" s="10"/>
    </row>
    <row r="176" spans="1:7" ht="15.75">
      <c r="A176" s="1"/>
      <c r="B176" s="1"/>
      <c r="C176" s="31"/>
      <c r="D176" s="9"/>
      <c r="E176" s="31"/>
      <c r="F176" s="1"/>
      <c r="G176" s="10"/>
    </row>
    <row r="177" spans="1:7" ht="15.75">
      <c r="A177" s="1"/>
      <c r="B177" s="1"/>
      <c r="C177" s="31"/>
      <c r="D177" s="9"/>
      <c r="E177" s="31"/>
      <c r="F177" s="1"/>
      <c r="G177" s="10"/>
    </row>
    <row r="178" spans="1:7" ht="15.75">
      <c r="A178" s="1"/>
      <c r="B178" s="1"/>
      <c r="C178" s="31"/>
      <c r="D178" s="9"/>
      <c r="E178" s="31"/>
      <c r="F178" s="1"/>
      <c r="G178" s="10"/>
    </row>
    <row r="179" spans="1:7" ht="15.75">
      <c r="A179" s="1"/>
      <c r="B179" s="1"/>
      <c r="C179" s="31"/>
      <c r="D179" s="9"/>
      <c r="E179" s="31"/>
      <c r="F179" s="1"/>
      <c r="G179" s="10"/>
    </row>
    <row r="180" spans="1:7" ht="15.75">
      <c r="A180" s="1"/>
      <c r="B180" s="1"/>
      <c r="C180" s="31"/>
      <c r="D180" s="9"/>
      <c r="E180" s="31"/>
      <c r="F180" s="1"/>
      <c r="G180" s="10"/>
    </row>
    <row r="181" spans="1:7" ht="15.75">
      <c r="A181" s="1"/>
      <c r="B181" s="1"/>
      <c r="C181" s="31"/>
      <c r="D181" s="9"/>
      <c r="E181" s="31"/>
      <c r="F181" s="1"/>
      <c r="G181" s="10"/>
    </row>
    <row r="182" spans="1:7" ht="15.75">
      <c r="A182" s="1"/>
      <c r="B182" s="1"/>
      <c r="C182" s="31"/>
      <c r="D182" s="9"/>
      <c r="E182" s="31"/>
      <c r="F182" s="1"/>
      <c r="G182" s="10"/>
    </row>
    <row r="183" spans="1:7" ht="15.75">
      <c r="A183" s="1"/>
      <c r="B183" s="1"/>
      <c r="C183" s="31"/>
      <c r="D183" s="9"/>
      <c r="E183" s="31"/>
      <c r="F183" s="1"/>
      <c r="G183" s="10"/>
    </row>
    <row r="184" spans="1:7" ht="15.75">
      <c r="A184" s="1"/>
      <c r="B184" s="1"/>
      <c r="C184" s="31"/>
      <c r="D184" s="9"/>
      <c r="E184" s="31"/>
      <c r="F184" s="1"/>
      <c r="G184" s="10"/>
    </row>
    <row r="185" spans="1:7" ht="15.75">
      <c r="A185" s="1"/>
      <c r="B185" s="1"/>
      <c r="C185" s="31"/>
      <c r="D185" s="9"/>
      <c r="E185" s="31"/>
      <c r="F185" s="1"/>
      <c r="G185" s="10"/>
    </row>
    <row r="186" spans="1:7" ht="15.75">
      <c r="A186" s="1"/>
      <c r="B186" s="1"/>
      <c r="C186" s="31"/>
      <c r="D186" s="9"/>
      <c r="E186" s="31"/>
      <c r="F186" s="1"/>
      <c r="G186" s="10"/>
    </row>
    <row r="187" spans="1:7" ht="15.75">
      <c r="A187" s="1"/>
      <c r="B187" s="1"/>
      <c r="C187" s="31"/>
      <c r="D187" s="9"/>
      <c r="E187" s="31"/>
      <c r="F187" s="1"/>
      <c r="G187" s="10"/>
    </row>
    <row r="188" spans="1:7" ht="15.75">
      <c r="A188" s="1"/>
      <c r="B188" s="1"/>
      <c r="C188" s="31"/>
      <c r="D188" s="9"/>
      <c r="E188" s="31"/>
      <c r="F188" s="1"/>
      <c r="G188" s="10"/>
    </row>
    <row r="189" spans="1:7" ht="15.75">
      <c r="A189" s="1"/>
      <c r="B189" s="1"/>
      <c r="C189" s="31"/>
      <c r="D189" s="9"/>
      <c r="E189" s="31"/>
      <c r="F189" s="1"/>
      <c r="G189" s="10"/>
    </row>
    <row r="190" spans="1:7" ht="15.75">
      <c r="A190" s="1"/>
      <c r="B190" s="1"/>
      <c r="C190" s="31"/>
      <c r="D190" s="9"/>
      <c r="E190" s="31"/>
      <c r="F190" s="1"/>
      <c r="G190" s="10"/>
    </row>
    <row r="191" spans="1:7" ht="15.75">
      <c r="A191" s="1"/>
      <c r="B191" s="1"/>
      <c r="C191" s="31"/>
      <c r="D191" s="9"/>
      <c r="E191" s="31"/>
      <c r="F191" s="1"/>
      <c r="G191" s="10"/>
    </row>
    <row r="192" spans="1:7" ht="15.75">
      <c r="A192" s="1"/>
      <c r="B192" s="1"/>
      <c r="C192" s="31"/>
      <c r="D192" s="9"/>
      <c r="E192" s="31"/>
      <c r="F192" s="1"/>
      <c r="G192" s="10"/>
    </row>
    <row r="193" spans="1:7" ht="15.75">
      <c r="A193" s="1"/>
      <c r="B193" s="1"/>
      <c r="C193" s="31"/>
      <c r="D193" s="9"/>
      <c r="E193" s="31"/>
      <c r="F193" s="1"/>
      <c r="G193" s="10"/>
    </row>
    <row r="194" spans="1:7" ht="15.75">
      <c r="A194" s="1"/>
      <c r="B194" s="1"/>
      <c r="C194" s="31"/>
      <c r="D194" s="9"/>
      <c r="E194" s="31"/>
      <c r="F194" s="1"/>
      <c r="G194" s="10"/>
    </row>
    <row r="195" spans="1:7" ht="15.75">
      <c r="A195" s="1"/>
      <c r="B195" s="1"/>
      <c r="C195" s="31"/>
      <c r="D195" s="9"/>
      <c r="E195" s="31"/>
      <c r="F195" s="1"/>
      <c r="G195" s="10"/>
    </row>
    <row r="196" spans="1:7" ht="15.75">
      <c r="A196" s="1"/>
      <c r="B196" s="1"/>
      <c r="C196" s="31"/>
      <c r="D196" s="9"/>
      <c r="E196" s="31"/>
      <c r="F196" s="1"/>
      <c r="G196" s="10"/>
    </row>
    <row r="197" spans="1:7" ht="15.75">
      <c r="A197" s="1"/>
      <c r="B197" s="1"/>
      <c r="C197" s="31"/>
      <c r="D197" s="9"/>
      <c r="E197" s="31"/>
      <c r="F197" s="1"/>
      <c r="G197" s="10"/>
    </row>
    <row r="198" spans="1:7" ht="15.75">
      <c r="A198" s="1"/>
      <c r="B198" s="1"/>
      <c r="C198" s="31"/>
      <c r="D198" s="9"/>
      <c r="E198" s="31"/>
      <c r="F198" s="1"/>
      <c r="G198" s="10"/>
    </row>
    <row r="199" spans="1:7" ht="15.75">
      <c r="A199" s="1"/>
      <c r="B199" s="1"/>
      <c r="C199" s="31"/>
      <c r="D199" s="9"/>
      <c r="E199" s="31"/>
      <c r="F199" s="1"/>
      <c r="G199" s="10"/>
    </row>
    <row r="200" spans="1:7" ht="15.75">
      <c r="A200" s="1"/>
      <c r="B200" s="1"/>
      <c r="C200" s="31"/>
      <c r="D200" s="9"/>
      <c r="E200" s="31"/>
      <c r="F200" s="1"/>
      <c r="G200" s="10"/>
    </row>
    <row r="201" spans="1:7" ht="15.75">
      <c r="A201" s="1"/>
      <c r="B201" s="1"/>
      <c r="C201" s="31"/>
      <c r="D201" s="9"/>
      <c r="E201" s="31"/>
      <c r="F201" s="1"/>
      <c r="G201" s="10"/>
    </row>
    <row r="202" spans="1:7" ht="15.75">
      <c r="A202" s="1"/>
      <c r="B202" s="1"/>
      <c r="C202" s="31"/>
      <c r="D202" s="9"/>
      <c r="E202" s="31"/>
      <c r="F202" s="1"/>
      <c r="G202" s="10"/>
    </row>
    <row r="203" spans="1:7" ht="15.75">
      <c r="A203" s="1"/>
      <c r="B203" s="1"/>
      <c r="C203" s="31"/>
      <c r="D203" s="9"/>
      <c r="E203" s="31"/>
      <c r="F203" s="1"/>
      <c r="G203" s="10"/>
    </row>
    <row r="204" spans="1:7" ht="15.75">
      <c r="A204" s="1"/>
      <c r="B204" s="1"/>
      <c r="C204" s="31"/>
      <c r="D204" s="9"/>
      <c r="E204" s="31"/>
      <c r="F204" s="1"/>
      <c r="G204" s="10"/>
    </row>
    <row r="205" spans="1:7" ht="15.75">
      <c r="A205" s="1"/>
      <c r="B205" s="1"/>
      <c r="C205" s="31"/>
      <c r="D205" s="9"/>
      <c r="E205" s="31"/>
      <c r="F205" s="1"/>
      <c r="G205" s="10"/>
    </row>
    <row r="206" spans="1:7" ht="15.75">
      <c r="A206" s="1"/>
      <c r="B206" s="1"/>
      <c r="C206" s="31"/>
      <c r="D206" s="9"/>
      <c r="E206" s="31"/>
      <c r="F206" s="1"/>
      <c r="G206" s="10"/>
    </row>
    <row r="207" spans="1:7" ht="15.75">
      <c r="A207" s="1"/>
      <c r="B207" s="1"/>
      <c r="C207" s="31"/>
      <c r="D207" s="9"/>
      <c r="E207" s="31"/>
      <c r="F207" s="1"/>
      <c r="G207" s="10"/>
    </row>
    <row r="208" spans="1:7" ht="15.75">
      <c r="A208" s="1"/>
      <c r="B208" s="1"/>
      <c r="C208" s="31"/>
      <c r="D208" s="9"/>
      <c r="E208" s="31"/>
      <c r="F208" s="1"/>
      <c r="G208" s="10"/>
    </row>
    <row r="209" spans="1:7" ht="15.75">
      <c r="A209" s="1"/>
      <c r="B209" s="1"/>
      <c r="C209" s="31"/>
      <c r="D209" s="9"/>
      <c r="E209" s="31"/>
      <c r="F209" s="1"/>
      <c r="G209" s="10"/>
    </row>
    <row r="210" spans="1:7" ht="15.75">
      <c r="A210" s="1"/>
      <c r="B210" s="1"/>
      <c r="C210" s="31"/>
      <c r="D210" s="9"/>
      <c r="E210" s="31"/>
      <c r="F210" s="1"/>
      <c r="G210" s="10"/>
    </row>
    <row r="211" spans="1:7" ht="15.75">
      <c r="A211" s="1"/>
      <c r="B211" s="1"/>
      <c r="C211" s="31"/>
      <c r="D211" s="9"/>
      <c r="E211" s="31"/>
      <c r="F211" s="1"/>
      <c r="G211" s="10"/>
    </row>
    <row r="212" spans="1:7" ht="15.75">
      <c r="A212" s="1"/>
      <c r="B212" s="1"/>
      <c r="C212" s="31"/>
      <c r="D212" s="9"/>
      <c r="E212" s="31"/>
      <c r="F212" s="1"/>
      <c r="G212" s="10"/>
    </row>
  </sheetData>
  <sheetProtection/>
  <mergeCells count="16">
    <mergeCell ref="A162:E162"/>
    <mergeCell ref="F162:G162"/>
    <mergeCell ref="F158:G158"/>
    <mergeCell ref="F159:G159"/>
    <mergeCell ref="F161:G161"/>
    <mergeCell ref="D3:E3"/>
    <mergeCell ref="F3:F5"/>
    <mergeCell ref="G3:G5"/>
    <mergeCell ref="A1:F1"/>
    <mergeCell ref="A161:E161"/>
    <mergeCell ref="A2:A5"/>
    <mergeCell ref="B5:C5"/>
    <mergeCell ref="D5:E5"/>
    <mergeCell ref="B2:G2"/>
    <mergeCell ref="B3:C3"/>
    <mergeCell ref="F160:G160"/>
  </mergeCells>
  <printOptions/>
  <pageMargins left="0.7086614173228347" right="0.7086614173228347" top="0.44" bottom="0.3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2020-01-09T08:36:27Z</dcterms:modified>
  <cp:category/>
  <cp:version/>
  <cp:contentType/>
  <cp:contentStatus/>
</cp:coreProperties>
</file>