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акаренко 22" sheetId="1" r:id="rId1"/>
  </sheets>
  <definedNames/>
  <calcPr fullCalcOnLoad="1"/>
</workbook>
</file>

<file path=xl/sharedStrings.xml><?xml version="1.0" encoding="utf-8"?>
<sst xmlns="http://schemas.openxmlformats.org/spreadsheetml/2006/main" count="45" uniqueCount="19">
  <si>
    <t>Показания приборов учета отопления за МАРТ  2020 г по адресу: г.Белгород ул.Макаренко д.22</t>
  </si>
  <si>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</si>
  <si>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</si>
  <si>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</si>
  <si>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</si>
  <si>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</si>
  <si>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</si>
  <si>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</si>
  <si>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</si>
  <si>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</si>
  <si>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27.02.2020.  0:00:00</t>
  </si>
  <si>
    <t>26.03.2020. 0:00:00</t>
  </si>
  <si>
    <t>н/р</t>
  </si>
  <si>
    <t>н/п</t>
  </si>
  <si>
    <t>Расход по ОДПУ</t>
  </si>
  <si>
    <t>Расход по ИПУ</t>
  </si>
  <si>
    <t>Корректировка</t>
  </si>
  <si>
    <t>Расход на ОДН</t>
  </si>
  <si>
    <t>ОДН на 1 м2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</si>
</sst>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.0000"/>
    <numFmt numFmtId="167" formatCode="#,##0.000"/>
    <numFmt numFmtId="168" formatCode="0.0000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5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4" fontId="3" fillId="0" borderId="1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165" fontId="7" fillId="2" borderId="4" xfId="0" applyNumberFormat="1" applyFont="1" applyFill="1" applyBorder="1" applyAlignment="1">
      <alignment/>
    </xf>
    <xf numFmtId="166" fontId="7" fillId="2" borderId="4" xfId="0" applyNumberFormat="1" applyFont="1" applyFill="1" applyBorder="1" applyAlignment="1">
      <alignment/>
    </xf>
    <xf numFmtId="167" fontId="5" fillId="2" borderId="4" xfId="0" applyNumberFormat="1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/>
    </xf>
    <xf numFmtId="166" fontId="7" fillId="2" borderId="5" xfId="0" applyNumberFormat="1" applyFont="1" applyFill="1" applyBorder="1" applyAlignment="1">
      <alignment/>
    </xf>
    <xf numFmtId="165" fontId="7" fillId="2" borderId="6" xfId="0" applyNumberFormat="1" applyFont="1" applyFill="1" applyBorder="1" applyAlignment="1">
      <alignment/>
    </xf>
    <xf numFmtId="166" fontId="7" fillId="2" borderId="6" xfId="0" applyNumberFormat="1" applyFont="1" applyFill="1" applyBorder="1" applyAlignment="1">
      <alignment/>
    </xf>
    <xf numFmtId="167" fontId="7" fillId="2" borderId="4" xfId="0" applyNumberFormat="1" applyFont="1" applyFill="1" applyBorder="1" applyAlignment="1">
      <alignment/>
    </xf>
    <xf numFmtId="167" fontId="7" fillId="2" borderId="5" xfId="0" applyNumberFormat="1" applyFont="1" applyFill="1" applyBorder="1" applyAlignment="1">
      <alignment/>
    </xf>
    <xf numFmtId="167" fontId="7" fillId="2" borderId="2" xfId="0" applyNumberFormat="1" applyFont="1" applyFill="1" applyBorder="1" applyAlignment="1">
      <alignment/>
    </xf>
    <xf numFmtId="166" fontId="7" fillId="2" borderId="2" xfId="0" applyNumberFormat="1" applyFont="1" applyFill="1" applyBorder="1" applyAlignment="1">
      <alignment/>
    </xf>
    <xf numFmtId="164" fontId="4" fillId="0" borderId="7" xfId="0" applyFont="1" applyBorder="1" applyAlignment="1">
      <alignment vertical="center"/>
    </xf>
    <xf numFmtId="164" fontId="4" fillId="0" borderId="8" xfId="0" applyFont="1" applyBorder="1" applyAlignment="1">
      <alignment vertical="center"/>
    </xf>
    <xf numFmtId="165" fontId="4" fillId="2" borderId="3" xfId="0" applyNumberFormat="1" applyFont="1" applyFill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165" fontId="4" fillId="3" borderId="2" xfId="0" applyNumberFormat="1" applyFont="1" applyFill="1" applyBorder="1" applyAlignment="1">
      <alignment horizontal="center" vertical="center"/>
    </xf>
    <xf numFmtId="164" fontId="4" fillId="0" borderId="2" xfId="0" applyFont="1" applyBorder="1" applyAlignment="1">
      <alignment vertical="center"/>
    </xf>
    <xf numFmtId="164" fontId="4" fillId="2" borderId="2" xfId="0" applyFont="1" applyFill="1" applyBorder="1" applyAlignment="1">
      <alignment vertical="center"/>
    </xf>
    <xf numFmtId="165" fontId="5" fillId="0" borderId="2" xfId="0" applyNumberFormat="1" applyFont="1" applyBorder="1" applyAlignment="1">
      <alignment horizontal="center" vertical="center"/>
    </xf>
    <xf numFmtId="164" fontId="4" fillId="0" borderId="2" xfId="0" applyFont="1" applyBorder="1" applyAlignment="1">
      <alignment horizontal="left" vertical="center"/>
    </xf>
    <xf numFmtId="168" fontId="4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="115" zoomScaleNormal="115" workbookViewId="0" topLeftCell="A1">
      <pane xSplit="1" ySplit="5" topLeftCell="B150" activePane="bottomRight" state="frozen"/>
      <selection pane="topLeft" activeCell="A1" sqref="A1"/>
      <selection pane="topRight" activeCell="B1" sqref="B1"/>
      <selection pane="bottomLeft" activeCell="A150" sqref="A150"/>
      <selection pane="bottomRight" activeCell="F162" sqref="F162"/>
    </sheetView>
  </sheetViews>
  <sheetFormatPr defaultColWidth="9.140625" defaultRowHeight="15"/>
  <cols>
    <col min="1" max="1" width="9.28125" style="0" customWidth="1"/>
    <col min="2" max="2" width="14.28125" style="0" customWidth="1"/>
    <col min="3" max="3" width="14.57421875" style="1" customWidth="1"/>
    <col min="4" max="4" width="16.140625" style="2" customWidth="1"/>
    <col min="5" max="5" width="15.57421875" style="1" customWidth="1"/>
    <col min="6" max="6" width="16.140625" style="0" customWidth="1"/>
    <col min="7" max="7" width="15.421875" style="3" customWidth="1"/>
  </cols>
  <sheetData>
    <row r="1" spans="1:6" ht="46.5" customHeight="1">
      <c r="A1" s="4" t="s">
        <v>0</v>
      </c>
      <c r="B1" s="4"/>
      <c r="C1" s="4"/>
      <c r="D1" s="4"/>
      <c r="E1" s="4"/>
      <c r="F1" s="4"/>
    </row>
    <row r="2" spans="1:7" ht="15.75" customHeight="1">
      <c r="A2" s="5" t="s">
        <v>1</v>
      </c>
      <c r="B2" s="6" t="s">
        <v>2</v>
      </c>
      <c r="C2" s="6"/>
      <c r="D2" s="6"/>
      <c r="E2" s="6"/>
      <c r="F2" s="6"/>
      <c r="G2" s="6"/>
    </row>
    <row r="3" spans="1:7" ht="31.5" customHeight="1">
      <c r="A3" s="5"/>
      <c r="B3" s="7" t="s">
        <v>3</v>
      </c>
      <c r="C3" s="7"/>
      <c r="D3" s="7" t="s">
        <v>4</v>
      </c>
      <c r="E3" s="7"/>
      <c r="F3" s="5" t="s">
        <v>5</v>
      </c>
      <c r="G3" s="8" t="s">
        <v>6</v>
      </c>
    </row>
    <row r="4" spans="1:7" ht="36" customHeight="1">
      <c r="A4" s="5"/>
      <c r="B4" s="9" t="s">
        <v>7</v>
      </c>
      <c r="C4" s="10" t="s">
        <v>8</v>
      </c>
      <c r="D4" s="7" t="s">
        <v>9</v>
      </c>
      <c r="E4" s="10" t="s">
        <v>8</v>
      </c>
      <c r="F4" s="5"/>
      <c r="G4" s="8"/>
    </row>
    <row r="5" spans="1:7" ht="21" customHeight="1">
      <c r="A5" s="5"/>
      <c r="B5" s="10" t="s">
        <v>10</v>
      </c>
      <c r="C5" s="10"/>
      <c r="D5" s="10" t="s">
        <v>11</v>
      </c>
      <c r="E5" s="10"/>
      <c r="F5" s="5"/>
      <c r="G5" s="8"/>
    </row>
    <row r="6" spans="1:7" ht="15.75">
      <c r="A6" s="6">
        <v>1</v>
      </c>
      <c r="B6" s="11">
        <f aca="true" t="shared" si="0" ref="B6:B7">C6*4.1868</f>
        <v>97.679</v>
      </c>
      <c r="C6" s="12">
        <f>97.679/4.1868</f>
        <v>23.330228336677177</v>
      </c>
      <c r="D6" s="11">
        <f aca="true" t="shared" si="1" ref="D6:D7">E6*4.1868</f>
        <v>99.624</v>
      </c>
      <c r="E6" s="13">
        <f>99.624/4.1868</f>
        <v>23.794783605617656</v>
      </c>
      <c r="F6" s="11">
        <f aca="true" t="shared" si="2" ref="F6:F7">E6-C6</f>
        <v>0.4645552689404795</v>
      </c>
      <c r="G6" s="14"/>
    </row>
    <row r="7" spans="1:7" ht="15.75">
      <c r="A7" s="6">
        <v>2</v>
      </c>
      <c r="B7" s="11">
        <f t="shared" si="0"/>
        <v>46.99</v>
      </c>
      <c r="C7" s="12">
        <f>46.99/4.1868</f>
        <v>11.223368682526035</v>
      </c>
      <c r="D7" s="11">
        <f t="shared" si="1"/>
        <v>47.546</v>
      </c>
      <c r="E7" s="13">
        <f>47.546/4.1868</f>
        <v>11.356167001050922</v>
      </c>
      <c r="F7" s="11">
        <f t="shared" si="2"/>
        <v>0.13279831852488755</v>
      </c>
      <c r="G7" s="14"/>
    </row>
    <row r="8" spans="1:7" ht="15.75">
      <c r="A8" s="6">
        <v>3</v>
      </c>
      <c r="B8" s="11">
        <v>0</v>
      </c>
      <c r="C8" s="12" t="s">
        <v>12</v>
      </c>
      <c r="D8" s="11">
        <v>0</v>
      </c>
      <c r="E8" s="13" t="s">
        <v>12</v>
      </c>
      <c r="F8" s="11">
        <v>0</v>
      </c>
      <c r="G8" s="14">
        <v>0.66</v>
      </c>
    </row>
    <row r="9" spans="1:7" ht="15.75">
      <c r="A9" s="6">
        <v>4</v>
      </c>
      <c r="B9" s="11">
        <v>0</v>
      </c>
      <c r="C9" s="12">
        <v>1.4572</v>
      </c>
      <c r="D9" s="11">
        <v>0</v>
      </c>
      <c r="E9" s="13">
        <v>1.7418</v>
      </c>
      <c r="F9" s="11">
        <f aca="true" t="shared" si="3" ref="F9:F12">E9-C9</f>
        <v>0.28459999999999996</v>
      </c>
      <c r="G9" s="14"/>
    </row>
    <row r="10" spans="1:7" ht="15.75">
      <c r="A10" s="6">
        <v>5</v>
      </c>
      <c r="B10" s="11">
        <v>0</v>
      </c>
      <c r="C10" s="12">
        <v>0.3502</v>
      </c>
      <c r="D10" s="11">
        <v>0</v>
      </c>
      <c r="E10" s="13">
        <v>2.116</v>
      </c>
      <c r="F10" s="11">
        <f t="shared" si="3"/>
        <v>1.7658</v>
      </c>
      <c r="G10" s="14"/>
    </row>
    <row r="11" spans="1:7" ht="15.75">
      <c r="A11" s="6">
        <v>6</v>
      </c>
      <c r="B11" s="11">
        <f>C11*4.1868</f>
        <v>0.0041868</v>
      </c>
      <c r="C11" s="12">
        <v>0.001</v>
      </c>
      <c r="D11" s="11">
        <f>E11*4.1868</f>
        <v>0.0041868</v>
      </c>
      <c r="E11" s="13">
        <v>0.001</v>
      </c>
      <c r="F11" s="11">
        <f t="shared" si="3"/>
        <v>0</v>
      </c>
      <c r="G11" s="14"/>
    </row>
    <row r="12" spans="1:7" ht="15.75">
      <c r="A12" s="6">
        <v>7</v>
      </c>
      <c r="B12" s="11">
        <v>0</v>
      </c>
      <c r="C12" s="12">
        <v>1.7949</v>
      </c>
      <c r="D12" s="11">
        <v>0</v>
      </c>
      <c r="E12" s="13">
        <v>2.1742</v>
      </c>
      <c r="F12" s="11">
        <f t="shared" si="3"/>
        <v>0.37929999999999997</v>
      </c>
      <c r="G12" s="14"/>
    </row>
    <row r="13" spans="1:7" ht="15.75">
      <c r="A13" s="6">
        <v>8</v>
      </c>
      <c r="B13" s="11">
        <v>0</v>
      </c>
      <c r="C13" s="12" t="s">
        <v>13</v>
      </c>
      <c r="D13" s="11">
        <v>0</v>
      </c>
      <c r="E13" s="13" t="s">
        <v>13</v>
      </c>
      <c r="F13" s="11">
        <v>0</v>
      </c>
      <c r="G13" s="14">
        <v>1.422</v>
      </c>
    </row>
    <row r="14" spans="1:7" ht="15.75">
      <c r="A14" s="6">
        <v>9</v>
      </c>
      <c r="B14" s="11">
        <f aca="true" t="shared" si="4" ref="B14:B17">C14*4.1868</f>
        <v>93.547</v>
      </c>
      <c r="C14" s="12">
        <f>93.547/4.1868</f>
        <v>22.343317091812363</v>
      </c>
      <c r="D14" s="11">
        <f aca="true" t="shared" si="5" ref="D14:D17">E14*4.1868</f>
        <v>95.982</v>
      </c>
      <c r="E14" s="13">
        <f>95.982/4.1868</f>
        <v>22.924906850100317</v>
      </c>
      <c r="F14" s="11">
        <f aca="true" t="shared" si="6" ref="F14:F22">E14-C14</f>
        <v>0.5815897582879543</v>
      </c>
      <c r="G14" s="14"/>
    </row>
    <row r="15" spans="1:7" ht="15.75">
      <c r="A15" s="6">
        <v>10</v>
      </c>
      <c r="B15" s="11">
        <f t="shared" si="4"/>
        <v>14.607745199999998</v>
      </c>
      <c r="C15" s="12">
        <v>3.489</v>
      </c>
      <c r="D15" s="11">
        <f t="shared" si="5"/>
        <v>16.0019496</v>
      </c>
      <c r="E15" s="13">
        <v>3.822</v>
      </c>
      <c r="F15" s="11">
        <f t="shared" si="6"/>
        <v>0.3330000000000002</v>
      </c>
      <c r="G15" s="14"/>
    </row>
    <row r="16" spans="1:7" ht="15.75">
      <c r="A16" s="6">
        <v>11</v>
      </c>
      <c r="B16" s="11">
        <f t="shared" si="4"/>
        <v>50.575</v>
      </c>
      <c r="C16" s="12">
        <f>50.575/4.1868</f>
        <v>12.079631221935609</v>
      </c>
      <c r="D16" s="11">
        <f t="shared" si="5"/>
        <v>52.046</v>
      </c>
      <c r="E16" s="13">
        <f>52.046/4.1868</f>
        <v>12.430973535874655</v>
      </c>
      <c r="F16" s="11">
        <f t="shared" si="6"/>
        <v>0.35134231393904614</v>
      </c>
      <c r="G16" s="14"/>
    </row>
    <row r="17" spans="1:7" ht="15.75">
      <c r="A17" s="6">
        <v>12</v>
      </c>
      <c r="B17" s="11">
        <f t="shared" si="4"/>
        <v>13</v>
      </c>
      <c r="C17" s="12">
        <f>13/4.1868</f>
        <v>3.1049966561574474</v>
      </c>
      <c r="D17" s="11">
        <f t="shared" si="5"/>
        <v>13</v>
      </c>
      <c r="E17" s="13">
        <f>13/4.1868</f>
        <v>3.1049966561574474</v>
      </c>
      <c r="F17" s="11">
        <f t="shared" si="6"/>
        <v>0</v>
      </c>
      <c r="G17" s="14"/>
    </row>
    <row r="18" spans="1:7" ht="15.75">
      <c r="A18" s="6">
        <v>13</v>
      </c>
      <c r="B18" s="11">
        <v>0</v>
      </c>
      <c r="C18" s="12">
        <v>0.02</v>
      </c>
      <c r="D18" s="11">
        <v>0</v>
      </c>
      <c r="E18" s="13">
        <v>0.023</v>
      </c>
      <c r="F18" s="11">
        <f t="shared" si="6"/>
        <v>0.002999999999999999</v>
      </c>
      <c r="G18" s="14"/>
    </row>
    <row r="19" spans="1:7" ht="15.75">
      <c r="A19" s="6">
        <v>14</v>
      </c>
      <c r="B19" s="11">
        <f aca="true" t="shared" si="7" ref="B19:B22">C19*4.1868</f>
        <v>1.67472</v>
      </c>
      <c r="C19" s="12">
        <v>0.4</v>
      </c>
      <c r="D19" s="11">
        <f aca="true" t="shared" si="8" ref="D19:D22">E19*4.1868</f>
        <v>1.8128844</v>
      </c>
      <c r="E19" s="13">
        <v>0.433</v>
      </c>
      <c r="F19" s="11">
        <f t="shared" si="6"/>
        <v>0.032999999999999974</v>
      </c>
      <c r="G19" s="14"/>
    </row>
    <row r="20" spans="1:7" ht="15.75">
      <c r="A20" s="6">
        <v>15</v>
      </c>
      <c r="B20" s="11">
        <f t="shared" si="7"/>
        <v>115.498</v>
      </c>
      <c r="C20" s="12">
        <f>115.498/4.1868</f>
        <v>27.58622336868253</v>
      </c>
      <c r="D20" s="11">
        <f t="shared" si="8"/>
        <v>118.593</v>
      </c>
      <c r="E20" s="13">
        <f>118.593/4.1868</f>
        <v>28.325451418744628</v>
      </c>
      <c r="F20" s="11">
        <f t="shared" si="6"/>
        <v>0.7392280500620991</v>
      </c>
      <c r="G20" s="14"/>
    </row>
    <row r="21" spans="1:7" ht="15.75">
      <c r="A21" s="6">
        <v>16</v>
      </c>
      <c r="B21" s="11">
        <f t="shared" si="7"/>
        <v>0.0083736</v>
      </c>
      <c r="C21" s="12">
        <v>0.002</v>
      </c>
      <c r="D21" s="11">
        <f t="shared" si="8"/>
        <v>0.0083736</v>
      </c>
      <c r="E21" s="13">
        <v>0.002</v>
      </c>
      <c r="F21" s="11">
        <f t="shared" si="6"/>
        <v>0</v>
      </c>
      <c r="G21" s="14"/>
    </row>
    <row r="22" spans="1:7" ht="15.75">
      <c r="A22" s="6">
        <v>17</v>
      </c>
      <c r="B22" s="11">
        <f t="shared" si="7"/>
        <v>110.134</v>
      </c>
      <c r="C22" s="12">
        <f>110.134/4.1868</f>
        <v>26.305053979172637</v>
      </c>
      <c r="D22" s="11">
        <f t="shared" si="8"/>
        <v>111.405</v>
      </c>
      <c r="E22" s="13">
        <f>111.405/4.1868</f>
        <v>26.608627113786188</v>
      </c>
      <c r="F22" s="11">
        <f t="shared" si="6"/>
        <v>0.3035731346135506</v>
      </c>
      <c r="G22" s="14"/>
    </row>
    <row r="23" spans="1:7" ht="15.75">
      <c r="A23" s="6">
        <v>18</v>
      </c>
      <c r="B23" s="11">
        <v>0</v>
      </c>
      <c r="C23" s="12" t="s">
        <v>12</v>
      </c>
      <c r="D23" s="11">
        <v>0</v>
      </c>
      <c r="E23" s="13" t="s">
        <v>12</v>
      </c>
      <c r="F23" s="11">
        <v>0</v>
      </c>
      <c r="G23" s="14">
        <v>0.899</v>
      </c>
    </row>
    <row r="24" spans="1:7" ht="15.75">
      <c r="A24" s="6">
        <v>19</v>
      </c>
      <c r="B24" s="11">
        <f aca="true" t="shared" si="9" ref="B24:B25">C24*4.1868</f>
        <v>8.1768204</v>
      </c>
      <c r="C24" s="12">
        <v>1.953</v>
      </c>
      <c r="D24" s="11">
        <f aca="true" t="shared" si="10" ref="D24:D25">E24*4.1868</f>
        <v>9.0937296</v>
      </c>
      <c r="E24" s="13">
        <v>2.172</v>
      </c>
      <c r="F24" s="11">
        <f aca="true" t="shared" si="11" ref="F24:F25">E24-C24</f>
        <v>0.21900000000000008</v>
      </c>
      <c r="G24" s="14"/>
    </row>
    <row r="25" spans="1:7" ht="15.75">
      <c r="A25" s="6">
        <v>20</v>
      </c>
      <c r="B25" s="11">
        <f t="shared" si="9"/>
        <v>11.000817</v>
      </c>
      <c r="C25" s="12">
        <v>2.6275</v>
      </c>
      <c r="D25" s="11">
        <f t="shared" si="10"/>
        <v>12.36906324</v>
      </c>
      <c r="E25" s="13">
        <v>2.9543</v>
      </c>
      <c r="F25" s="11">
        <f t="shared" si="11"/>
        <v>0.3268</v>
      </c>
      <c r="G25" s="14"/>
    </row>
    <row r="26" spans="1:7" ht="15.75">
      <c r="A26" s="6">
        <v>21</v>
      </c>
      <c r="B26" s="11">
        <v>0</v>
      </c>
      <c r="C26" s="12" t="s">
        <v>13</v>
      </c>
      <c r="D26" s="11">
        <v>0</v>
      </c>
      <c r="E26" s="13" t="s">
        <v>13</v>
      </c>
      <c r="F26" s="11">
        <v>0</v>
      </c>
      <c r="G26" s="14">
        <v>0.657</v>
      </c>
    </row>
    <row r="27" spans="1:7" ht="15.75">
      <c r="A27" s="6">
        <v>22</v>
      </c>
      <c r="B27" s="11">
        <f aca="true" t="shared" si="12" ref="B27:B31">C27*4.1868</f>
        <v>35.419</v>
      </c>
      <c r="C27" s="12">
        <f>35.419/4.1868</f>
        <v>8.459682812649278</v>
      </c>
      <c r="D27" s="11">
        <f aca="true" t="shared" si="13" ref="D27:D31">E27*4.1868</f>
        <v>36.075</v>
      </c>
      <c r="E27" s="13">
        <f>36.075/4.1868</f>
        <v>8.616365720836917</v>
      </c>
      <c r="F27" s="11">
        <f aca="true" t="shared" si="14" ref="F27:F28">E27-C27</f>
        <v>0.15668290818763886</v>
      </c>
      <c r="G27" s="14"/>
    </row>
    <row r="28" spans="1:7" ht="15.75">
      <c r="A28" s="6">
        <v>23</v>
      </c>
      <c r="B28" s="11">
        <f t="shared" si="12"/>
        <v>25.332</v>
      </c>
      <c r="C28" s="12">
        <f>25.332/4.1868</f>
        <v>6.050444253367727</v>
      </c>
      <c r="D28" s="11">
        <f t="shared" si="13"/>
        <v>25.332</v>
      </c>
      <c r="E28" s="13">
        <f>25.332/4.1868</f>
        <v>6.050444253367727</v>
      </c>
      <c r="F28" s="11">
        <f t="shared" si="14"/>
        <v>0</v>
      </c>
      <c r="G28" s="14"/>
    </row>
    <row r="29" spans="1:7" ht="15.75">
      <c r="A29" s="6">
        <v>24</v>
      </c>
      <c r="B29" s="11">
        <f t="shared" si="12"/>
        <v>68.69</v>
      </c>
      <c r="C29" s="12">
        <f>68.69/4.1868</f>
        <v>16.406324639342696</v>
      </c>
      <c r="D29" s="11" t="e">
        <f t="shared" si="13"/>
        <v>#VALUE!</v>
      </c>
      <c r="E29" s="13" t="s">
        <v>12</v>
      </c>
      <c r="F29" s="11">
        <v>0</v>
      </c>
      <c r="G29" s="14">
        <v>0.972</v>
      </c>
    </row>
    <row r="30" spans="1:7" ht="15.75">
      <c r="A30" s="6">
        <v>25</v>
      </c>
      <c r="B30" s="11">
        <f t="shared" si="12"/>
        <v>42.926</v>
      </c>
      <c r="C30" s="12">
        <f>42.926/4.1868</f>
        <v>10.25269895863189</v>
      </c>
      <c r="D30" s="11">
        <f t="shared" si="13"/>
        <v>44.094</v>
      </c>
      <c r="E30" s="13">
        <f>44.094/4.1868</f>
        <v>10.531670965892806</v>
      </c>
      <c r="F30" s="11">
        <f aca="true" t="shared" si="15" ref="F30:F32">E30-C30</f>
        <v>0.278972007260915</v>
      </c>
      <c r="G30" s="14"/>
    </row>
    <row r="31" spans="1:7" ht="15.75">
      <c r="A31" s="6">
        <v>26</v>
      </c>
      <c r="B31" s="11">
        <f t="shared" si="12"/>
        <v>79.419</v>
      </c>
      <c r="C31" s="12">
        <f>79.419/4.1868</f>
        <v>18.9689022642591</v>
      </c>
      <c r="D31" s="11">
        <f t="shared" si="13"/>
        <v>82.092</v>
      </c>
      <c r="E31" s="13">
        <f>82.092/4.1868</f>
        <v>19.607337345944398</v>
      </c>
      <c r="F31" s="11">
        <f t="shared" si="15"/>
        <v>0.638435081685298</v>
      </c>
      <c r="G31" s="14"/>
    </row>
    <row r="32" spans="1:7" ht="15.75">
      <c r="A32" s="6">
        <v>27</v>
      </c>
      <c r="B32" s="11">
        <v>0</v>
      </c>
      <c r="C32" s="12">
        <v>4.215</v>
      </c>
      <c r="D32" s="11">
        <v>0</v>
      </c>
      <c r="E32" s="13">
        <v>4.226</v>
      </c>
      <c r="F32" s="11">
        <f t="shared" si="15"/>
        <v>0.01100000000000012</v>
      </c>
      <c r="G32" s="14"/>
    </row>
    <row r="33" spans="1:7" ht="15.75">
      <c r="A33" s="6">
        <v>28</v>
      </c>
      <c r="B33" s="11">
        <v>0</v>
      </c>
      <c r="C33" s="12" t="s">
        <v>13</v>
      </c>
      <c r="D33" s="11">
        <v>0</v>
      </c>
      <c r="E33" s="13" t="s">
        <v>13</v>
      </c>
      <c r="F33" s="11">
        <v>0</v>
      </c>
      <c r="G33" s="14">
        <v>0.5670000000000001</v>
      </c>
    </row>
    <row r="34" spans="1:7" ht="15.75">
      <c r="A34" s="6">
        <v>29</v>
      </c>
      <c r="B34" s="11">
        <v>0</v>
      </c>
      <c r="C34" s="15">
        <f>49.419/4.1868</f>
        <v>11.803525365434222</v>
      </c>
      <c r="D34" s="11">
        <v>0</v>
      </c>
      <c r="E34" s="16">
        <f>50.364/4.1868</f>
        <v>12.029234737747204</v>
      </c>
      <c r="F34" s="11">
        <f aca="true" t="shared" si="16" ref="F34:F41">E34-C34</f>
        <v>0.22570937231298238</v>
      </c>
      <c r="G34" s="14"/>
    </row>
    <row r="35" spans="1:7" ht="15.75">
      <c r="A35" s="6">
        <v>30</v>
      </c>
      <c r="B35" s="11">
        <f aca="true" t="shared" si="17" ref="B35:B41">C35*4.1868</f>
        <v>47.912</v>
      </c>
      <c r="C35" s="15">
        <f>47.912/4.1868</f>
        <v>11.443584599216585</v>
      </c>
      <c r="D35" s="11">
        <f aca="true" t="shared" si="18" ref="D35:D41">E35*4.1868</f>
        <v>48.974</v>
      </c>
      <c r="E35" s="16">
        <f>48.974/4.1868</f>
        <v>11.697238941434986</v>
      </c>
      <c r="F35" s="11">
        <f t="shared" si="16"/>
        <v>0.25365434221840033</v>
      </c>
      <c r="G35" s="14"/>
    </row>
    <row r="36" spans="1:7" ht="15.75">
      <c r="A36" s="6">
        <v>31</v>
      </c>
      <c r="B36" s="11">
        <f t="shared" si="17"/>
        <v>30.001</v>
      </c>
      <c r="C36" s="12">
        <f>30.001/4.1868</f>
        <v>7.1656157447215065</v>
      </c>
      <c r="D36" s="11">
        <f t="shared" si="18"/>
        <v>30.001</v>
      </c>
      <c r="E36" s="13">
        <f>30.001/4.1868</f>
        <v>7.1656157447215065</v>
      </c>
      <c r="F36" s="11">
        <f t="shared" si="16"/>
        <v>0</v>
      </c>
      <c r="G36" s="14"/>
    </row>
    <row r="37" spans="1:7" ht="15.75">
      <c r="A37" s="6">
        <v>32</v>
      </c>
      <c r="B37" s="11">
        <f t="shared" si="17"/>
        <v>9.46</v>
      </c>
      <c r="C37" s="12">
        <f>9.46/4.1868</f>
        <v>2.2594821820961117</v>
      </c>
      <c r="D37" s="11">
        <f t="shared" si="18"/>
        <v>9.898</v>
      </c>
      <c r="E37" s="13">
        <f>9.898/4.1868</f>
        <v>2.364096684818955</v>
      </c>
      <c r="F37" s="11">
        <f t="shared" si="16"/>
        <v>0.10461450272284312</v>
      </c>
      <c r="G37" s="14"/>
    </row>
    <row r="38" spans="1:7" ht="15.75">
      <c r="A38" s="6">
        <v>33</v>
      </c>
      <c r="B38" s="11">
        <f t="shared" si="17"/>
        <v>6.3555624</v>
      </c>
      <c r="C38" s="12">
        <v>1.518</v>
      </c>
      <c r="D38" s="11">
        <f t="shared" si="18"/>
        <v>6.3555624</v>
      </c>
      <c r="E38" s="13">
        <v>1.518</v>
      </c>
      <c r="F38" s="11">
        <f t="shared" si="16"/>
        <v>0</v>
      </c>
      <c r="G38" s="14"/>
    </row>
    <row r="39" spans="1:7" ht="15.75">
      <c r="A39" s="6">
        <v>34</v>
      </c>
      <c r="B39" s="11">
        <f t="shared" si="17"/>
        <v>60.801</v>
      </c>
      <c r="C39" s="17">
        <f>60.801/4.1868</f>
        <v>14.522069360848382</v>
      </c>
      <c r="D39" s="11">
        <f t="shared" si="18"/>
        <v>60.905</v>
      </c>
      <c r="E39" s="18">
        <f>60.905/4.1868</f>
        <v>14.546909334097641</v>
      </c>
      <c r="F39" s="11">
        <f t="shared" si="16"/>
        <v>0.024839973249259018</v>
      </c>
      <c r="G39" s="14"/>
    </row>
    <row r="40" spans="1:7" ht="15.75">
      <c r="A40" s="6">
        <v>35</v>
      </c>
      <c r="B40" s="11">
        <f t="shared" si="17"/>
        <v>2.9768147999999997</v>
      </c>
      <c r="C40" s="12">
        <v>0.711</v>
      </c>
      <c r="D40" s="11">
        <f t="shared" si="18"/>
        <v>2.9768147999999997</v>
      </c>
      <c r="E40" s="13">
        <v>0.711</v>
      </c>
      <c r="F40" s="11">
        <f t="shared" si="16"/>
        <v>0</v>
      </c>
      <c r="G40" s="14"/>
    </row>
    <row r="41" spans="1:7" ht="15.75">
      <c r="A41" s="6">
        <v>36</v>
      </c>
      <c r="B41" s="11">
        <f t="shared" si="17"/>
        <v>60.273</v>
      </c>
      <c r="C41" s="12">
        <v>14.395958727429065</v>
      </c>
      <c r="D41" s="11">
        <f t="shared" si="18"/>
        <v>60.273</v>
      </c>
      <c r="E41" s="13">
        <v>14.395958727429065</v>
      </c>
      <c r="F41" s="11">
        <f t="shared" si="16"/>
        <v>0</v>
      </c>
      <c r="G41" s="14"/>
    </row>
    <row r="42" spans="1:7" ht="15.75">
      <c r="A42" s="6">
        <v>37</v>
      </c>
      <c r="B42" s="11">
        <v>0</v>
      </c>
      <c r="C42" s="12" t="s">
        <v>13</v>
      </c>
      <c r="D42" s="11">
        <v>0</v>
      </c>
      <c r="E42" s="13" t="s">
        <v>13</v>
      </c>
      <c r="F42" s="11">
        <v>0</v>
      </c>
      <c r="G42" s="14">
        <v>0.5640000000000001</v>
      </c>
    </row>
    <row r="43" spans="1:7" ht="15.75">
      <c r="A43" s="6">
        <v>38</v>
      </c>
      <c r="B43" s="11">
        <f aca="true" t="shared" si="19" ref="B43:B46">C43*4.1868</f>
        <v>2.531</v>
      </c>
      <c r="C43" s="12">
        <v>0.6045189643641923</v>
      </c>
      <c r="D43" s="11">
        <f aca="true" t="shared" si="20" ref="D43:D46">E43*4.1868</f>
        <v>2.531</v>
      </c>
      <c r="E43" s="13">
        <v>0.6045189643641923</v>
      </c>
      <c r="F43" s="11">
        <f aca="true" t="shared" si="21" ref="F43:F81">E43-C43</f>
        <v>0</v>
      </c>
      <c r="G43" s="14"/>
    </row>
    <row r="44" spans="1:7" ht="15.75">
      <c r="A44" s="6">
        <v>39</v>
      </c>
      <c r="B44" s="11">
        <f t="shared" si="19"/>
        <v>0.10467</v>
      </c>
      <c r="C44" s="12">
        <v>0.025</v>
      </c>
      <c r="D44" s="11">
        <f t="shared" si="20"/>
        <v>0.10885679999999999</v>
      </c>
      <c r="E44" s="13">
        <v>0.026</v>
      </c>
      <c r="F44" s="11">
        <f t="shared" si="21"/>
        <v>0.0009999999999999974</v>
      </c>
      <c r="G44" s="14"/>
    </row>
    <row r="45" spans="1:7" ht="15.75">
      <c r="A45" s="6">
        <v>40</v>
      </c>
      <c r="B45" s="11">
        <f t="shared" si="19"/>
        <v>4.396</v>
      </c>
      <c r="C45" s="12">
        <v>1.0499665615744722</v>
      </c>
      <c r="D45" s="11">
        <f t="shared" si="20"/>
        <v>4.396</v>
      </c>
      <c r="E45" s="13">
        <v>1.0499665615744722</v>
      </c>
      <c r="F45" s="11">
        <f t="shared" si="21"/>
        <v>0</v>
      </c>
      <c r="G45" s="14"/>
    </row>
    <row r="46" spans="1:7" ht="15.75">
      <c r="A46" s="6">
        <v>41</v>
      </c>
      <c r="B46" s="11">
        <f t="shared" si="19"/>
        <v>55.876</v>
      </c>
      <c r="C46" s="12">
        <f>55.876/4.1868</f>
        <v>13.345753319957963</v>
      </c>
      <c r="D46" s="11">
        <f t="shared" si="20"/>
        <v>57.113</v>
      </c>
      <c r="E46" s="13">
        <f>57.113/4.1868</f>
        <v>13.641205694086176</v>
      </c>
      <c r="F46" s="11">
        <f t="shared" si="21"/>
        <v>0.2954523741282138</v>
      </c>
      <c r="G46" s="14"/>
    </row>
    <row r="47" spans="1:7" ht="15.75">
      <c r="A47" s="6">
        <v>42</v>
      </c>
      <c r="B47" s="11">
        <v>0</v>
      </c>
      <c r="C47" s="12">
        <v>0.9123</v>
      </c>
      <c r="D47" s="11">
        <v>0</v>
      </c>
      <c r="E47" s="13">
        <v>1.3073</v>
      </c>
      <c r="F47" s="11">
        <f t="shared" si="21"/>
        <v>0.3949999999999999</v>
      </c>
      <c r="G47" s="14"/>
    </row>
    <row r="48" spans="1:7" ht="15.75">
      <c r="A48" s="6">
        <v>43</v>
      </c>
      <c r="B48" s="11">
        <f aca="true" t="shared" si="22" ref="B48:B52">C48*4.1868</f>
        <v>87.375</v>
      </c>
      <c r="C48" s="12">
        <f>87.375/4.1868</f>
        <v>20.86916021782746</v>
      </c>
      <c r="D48" s="11">
        <f aca="true" t="shared" si="23" ref="D48:D52">E48*4.1868</f>
        <v>88.538</v>
      </c>
      <c r="E48" s="13">
        <f>88.538/4.1868</f>
        <v>21.146937995605235</v>
      </c>
      <c r="F48" s="11">
        <f t="shared" si="21"/>
        <v>0.277777777777775</v>
      </c>
      <c r="G48" s="14"/>
    </row>
    <row r="49" spans="1:7" ht="15.75">
      <c r="A49" s="6">
        <v>44</v>
      </c>
      <c r="B49" s="11">
        <f t="shared" si="22"/>
        <v>86.338</v>
      </c>
      <c r="C49" s="12">
        <f>86.338/4.1868</f>
        <v>20.621477023024745</v>
      </c>
      <c r="D49" s="11">
        <f t="shared" si="23"/>
        <v>86.453</v>
      </c>
      <c r="E49" s="13">
        <f>86.453/4.1868</f>
        <v>20.648944301136908</v>
      </c>
      <c r="F49" s="11">
        <f t="shared" si="21"/>
        <v>0.02746727811216232</v>
      </c>
      <c r="G49" s="14"/>
    </row>
    <row r="50" spans="1:7" ht="15.75">
      <c r="A50" s="6">
        <v>45</v>
      </c>
      <c r="B50" s="11">
        <f t="shared" si="22"/>
        <v>34.785</v>
      </c>
      <c r="C50" s="12">
        <v>8.308254514187446</v>
      </c>
      <c r="D50" s="11">
        <f t="shared" si="23"/>
        <v>34.785</v>
      </c>
      <c r="E50" s="13">
        <v>8.308254514187446</v>
      </c>
      <c r="F50" s="11">
        <f t="shared" si="21"/>
        <v>0</v>
      </c>
      <c r="G50" s="14"/>
    </row>
    <row r="51" spans="1:7" ht="15.75">
      <c r="A51" s="6">
        <v>46</v>
      </c>
      <c r="B51" s="11">
        <f t="shared" si="22"/>
        <v>44.165</v>
      </c>
      <c r="C51" s="12">
        <f>44.165/4.1868</f>
        <v>10.548629024553358</v>
      </c>
      <c r="D51" s="11">
        <f t="shared" si="23"/>
        <v>45.967</v>
      </c>
      <c r="E51" s="13">
        <f>45.967/4.1868</f>
        <v>10.979029330276106</v>
      </c>
      <c r="F51" s="11">
        <f t="shared" si="21"/>
        <v>0.43040030572274723</v>
      </c>
      <c r="G51" s="14"/>
    </row>
    <row r="52" spans="1:7" ht="15.75">
      <c r="A52" s="6">
        <v>47</v>
      </c>
      <c r="B52" s="11">
        <f t="shared" si="22"/>
        <v>8.835</v>
      </c>
      <c r="C52" s="12">
        <v>2.1102034967039267</v>
      </c>
      <c r="D52" s="11">
        <f t="shared" si="23"/>
        <v>8.835</v>
      </c>
      <c r="E52" s="13">
        <v>2.1102034967039267</v>
      </c>
      <c r="F52" s="11">
        <f t="shared" si="21"/>
        <v>0</v>
      </c>
      <c r="G52" s="14"/>
    </row>
    <row r="53" spans="1:7" ht="15.75">
      <c r="A53" s="6">
        <v>48</v>
      </c>
      <c r="B53" s="11">
        <v>0</v>
      </c>
      <c r="C53" s="12">
        <f>29.84/4.1868</f>
        <v>7.127161555364479</v>
      </c>
      <c r="D53" s="11">
        <v>0</v>
      </c>
      <c r="E53" s="13">
        <f>30.959/4.1868</f>
        <v>7.394430113690647</v>
      </c>
      <c r="F53" s="11">
        <f t="shared" si="21"/>
        <v>0.267268558326168</v>
      </c>
      <c r="G53" s="14"/>
    </row>
    <row r="54" spans="1:7" ht="15.75">
      <c r="A54" s="6">
        <v>49</v>
      </c>
      <c r="B54" s="11">
        <f aca="true" t="shared" si="24" ref="B54:B77">C54*4.1868</f>
        <v>58.217</v>
      </c>
      <c r="C54" s="12">
        <f>58.217/4.1868</f>
        <v>13.90489156396293</v>
      </c>
      <c r="D54" s="11">
        <f aca="true" t="shared" si="25" ref="D54:D77">E54*4.1868</f>
        <v>59.036</v>
      </c>
      <c r="E54" s="13">
        <f>59.036/4.1868</f>
        <v>14.100506353300851</v>
      </c>
      <c r="F54" s="11">
        <f t="shared" si="21"/>
        <v>0.19561478933792031</v>
      </c>
      <c r="G54" s="14"/>
    </row>
    <row r="55" spans="1:7" ht="15.75">
      <c r="A55" s="6">
        <v>50</v>
      </c>
      <c r="B55" s="11">
        <f t="shared" si="24"/>
        <v>51.954</v>
      </c>
      <c r="C55" s="12">
        <f>51.954/4.1868</f>
        <v>12.408999713384924</v>
      </c>
      <c r="D55" s="11">
        <f t="shared" si="25"/>
        <v>52.864</v>
      </c>
      <c r="E55" s="13">
        <f>52.864/4.1868</f>
        <v>12.626349479315945</v>
      </c>
      <c r="F55" s="11">
        <f t="shared" si="21"/>
        <v>0.2173497659310204</v>
      </c>
      <c r="G55" s="14"/>
    </row>
    <row r="56" spans="1:7" ht="15.75">
      <c r="A56" s="6">
        <v>51</v>
      </c>
      <c r="B56" s="11">
        <f t="shared" si="24"/>
        <v>51.399</v>
      </c>
      <c r="C56" s="12">
        <f>51.399/4.1868</f>
        <v>12.276440240756665</v>
      </c>
      <c r="D56" s="11">
        <f t="shared" si="25"/>
        <v>52.282</v>
      </c>
      <c r="E56" s="13">
        <f>52.282/4.1868</f>
        <v>12.487341167478743</v>
      </c>
      <c r="F56" s="11">
        <f t="shared" si="21"/>
        <v>0.2109009267220774</v>
      </c>
      <c r="G56" s="14"/>
    </row>
    <row r="57" spans="1:7" ht="15.75">
      <c r="A57" s="6">
        <v>52</v>
      </c>
      <c r="B57" s="11">
        <f t="shared" si="24"/>
        <v>51.628</v>
      </c>
      <c r="C57" s="12">
        <f>51.628/4.1868</f>
        <v>12.331135951084361</v>
      </c>
      <c r="D57" s="11">
        <f t="shared" si="25"/>
        <v>52.361</v>
      </c>
      <c r="E57" s="13">
        <f>52.361/4.1868</f>
        <v>12.506209993312314</v>
      </c>
      <c r="F57" s="11">
        <f t="shared" si="21"/>
        <v>0.1750740422279531</v>
      </c>
      <c r="G57" s="14"/>
    </row>
    <row r="58" spans="1:7" ht="15.75">
      <c r="A58" s="6">
        <v>53</v>
      </c>
      <c r="B58" s="11">
        <f t="shared" si="24"/>
        <v>88.754</v>
      </c>
      <c r="C58" s="12">
        <f>88.754/4.1868</f>
        <v>21.198528709276776</v>
      </c>
      <c r="D58" s="11">
        <f t="shared" si="25"/>
        <v>88.754</v>
      </c>
      <c r="E58" s="13">
        <f>88.754/4.1868</f>
        <v>21.198528709276776</v>
      </c>
      <c r="F58" s="11">
        <f t="shared" si="21"/>
        <v>0</v>
      </c>
      <c r="G58" s="14"/>
    </row>
    <row r="59" spans="1:7" ht="15.75">
      <c r="A59" s="6">
        <v>54</v>
      </c>
      <c r="B59" s="11">
        <f t="shared" si="24"/>
        <v>99.448</v>
      </c>
      <c r="C59" s="12">
        <f>99.448/4.1868</f>
        <v>23.752746727811214</v>
      </c>
      <c r="D59" s="11">
        <f t="shared" si="25"/>
        <v>101.624</v>
      </c>
      <c r="E59" s="13">
        <f>101.624/4.1868</f>
        <v>24.272475398872647</v>
      </c>
      <c r="F59" s="11">
        <f t="shared" si="21"/>
        <v>0.5197286710614328</v>
      </c>
      <c r="G59" s="14"/>
    </row>
    <row r="60" spans="1:7" ht="15.75">
      <c r="A60" s="6">
        <v>55</v>
      </c>
      <c r="B60" s="11">
        <f t="shared" si="24"/>
        <v>33.191</v>
      </c>
      <c r="C60" s="12">
        <f>33.191/4.1868</f>
        <v>7.927534154963219</v>
      </c>
      <c r="D60" s="11">
        <f t="shared" si="25"/>
        <v>33.191</v>
      </c>
      <c r="E60" s="13">
        <f>33.191/4.1868</f>
        <v>7.927534154963219</v>
      </c>
      <c r="F60" s="11">
        <f t="shared" si="21"/>
        <v>0</v>
      </c>
      <c r="G60" s="14"/>
    </row>
    <row r="61" spans="1:7" ht="15.75">
      <c r="A61" s="6">
        <v>56</v>
      </c>
      <c r="B61" s="11">
        <f t="shared" si="24"/>
        <v>49.516</v>
      </c>
      <c r="C61" s="12">
        <f>49.516/4.1868</f>
        <v>11.826693417407089</v>
      </c>
      <c r="D61" s="11">
        <f t="shared" si="25"/>
        <v>50.791</v>
      </c>
      <c r="E61" s="13">
        <f>50.791/4.1868</f>
        <v>12.131221935607146</v>
      </c>
      <c r="F61" s="11">
        <f t="shared" si="21"/>
        <v>0.30452851820005655</v>
      </c>
      <c r="G61" s="14"/>
    </row>
    <row r="62" spans="1:7" ht="15.75">
      <c r="A62" s="6">
        <v>57</v>
      </c>
      <c r="B62" s="11">
        <f t="shared" si="24"/>
        <v>13.0586292</v>
      </c>
      <c r="C62" s="12">
        <v>3.119</v>
      </c>
      <c r="D62" s="11">
        <f t="shared" si="25"/>
        <v>14.641239599999999</v>
      </c>
      <c r="E62" s="13">
        <v>3.497</v>
      </c>
      <c r="F62" s="11">
        <f t="shared" si="21"/>
        <v>0.37799999999999967</v>
      </c>
      <c r="G62" s="14"/>
    </row>
    <row r="63" spans="1:7" ht="15.75">
      <c r="A63" s="6">
        <v>58</v>
      </c>
      <c r="B63" s="11">
        <f t="shared" si="24"/>
        <v>33.863</v>
      </c>
      <c r="C63" s="12">
        <f>33.863/4.1868</f>
        <v>8.088038597496896</v>
      </c>
      <c r="D63" s="11">
        <f t="shared" si="25"/>
        <v>35.033</v>
      </c>
      <c r="E63" s="13">
        <f>35.033/4.1868</f>
        <v>8.367488296551066</v>
      </c>
      <c r="F63" s="11">
        <f t="shared" si="21"/>
        <v>0.2794496990541706</v>
      </c>
      <c r="G63" s="14"/>
    </row>
    <row r="64" spans="1:7" ht="15.75">
      <c r="A64" s="6">
        <v>59</v>
      </c>
      <c r="B64" s="11">
        <f t="shared" si="24"/>
        <v>1.861</v>
      </c>
      <c r="C64" s="12">
        <f>1.861/4.1868</f>
        <v>0.44449221362376995</v>
      </c>
      <c r="D64" s="11">
        <f t="shared" si="25"/>
        <v>1.861</v>
      </c>
      <c r="E64" s="13">
        <f>1.861/4.1868</f>
        <v>0.44449221362376995</v>
      </c>
      <c r="F64" s="11">
        <f t="shared" si="21"/>
        <v>0</v>
      </c>
      <c r="G64" s="14"/>
    </row>
    <row r="65" spans="1:7" ht="15.75">
      <c r="A65" s="6">
        <v>60</v>
      </c>
      <c r="B65" s="11">
        <f t="shared" si="24"/>
        <v>35.089</v>
      </c>
      <c r="C65" s="12">
        <f>35.089/4.1868</f>
        <v>8.380863666762204</v>
      </c>
      <c r="D65" s="11">
        <f t="shared" si="25"/>
        <v>37.47</v>
      </c>
      <c r="E65" s="13">
        <f>37.47/4.1868</f>
        <v>8.949555746632273</v>
      </c>
      <c r="F65" s="11">
        <f t="shared" si="21"/>
        <v>0.5686920798700683</v>
      </c>
      <c r="G65" s="14"/>
    </row>
    <row r="66" spans="1:7" ht="15.75">
      <c r="A66" s="6">
        <v>61</v>
      </c>
      <c r="B66" s="11">
        <f t="shared" si="24"/>
        <v>69.614</v>
      </c>
      <c r="C66" s="12">
        <f>69.614/4.1868</f>
        <v>16.627018247826506</v>
      </c>
      <c r="D66" s="11">
        <f t="shared" si="25"/>
        <v>70.225</v>
      </c>
      <c r="E66" s="13">
        <f>70.225/4.1868</f>
        <v>16.7729530906659</v>
      </c>
      <c r="F66" s="11">
        <f t="shared" si="21"/>
        <v>0.14593484283939517</v>
      </c>
      <c r="G66" s="14"/>
    </row>
    <row r="67" spans="1:7" ht="15.75">
      <c r="A67" s="6">
        <v>62</v>
      </c>
      <c r="B67" s="11">
        <f t="shared" si="24"/>
        <v>73.965</v>
      </c>
      <c r="C67" s="12">
        <f>73.965/4.1868</f>
        <v>17.66623674405274</v>
      </c>
      <c r="D67" s="11">
        <f t="shared" si="25"/>
        <v>76.72</v>
      </c>
      <c r="E67" s="13">
        <f>76.72/4.1868</f>
        <v>18.324257189261488</v>
      </c>
      <c r="F67" s="11">
        <f t="shared" si="21"/>
        <v>0.6580204452087486</v>
      </c>
      <c r="G67" s="14"/>
    </row>
    <row r="68" spans="1:7" ht="15.75">
      <c r="A68" s="6">
        <v>63</v>
      </c>
      <c r="B68" s="11">
        <f t="shared" si="24"/>
        <v>5.97372624</v>
      </c>
      <c r="C68" s="12">
        <v>1.4268</v>
      </c>
      <c r="D68" s="11">
        <f t="shared" si="25"/>
        <v>7.9004916</v>
      </c>
      <c r="E68" s="13">
        <v>1.887</v>
      </c>
      <c r="F68" s="11">
        <f t="shared" si="21"/>
        <v>0.46019999999999994</v>
      </c>
      <c r="G68" s="14"/>
    </row>
    <row r="69" spans="1:7" ht="15.75">
      <c r="A69" s="6">
        <v>64</v>
      </c>
      <c r="B69" s="11">
        <f t="shared" si="24"/>
        <v>42.345</v>
      </c>
      <c r="C69" s="12">
        <f>42.345/4.1868</f>
        <v>10.113929492691316</v>
      </c>
      <c r="D69" s="11">
        <f t="shared" si="25"/>
        <v>43.677</v>
      </c>
      <c r="E69" s="13">
        <f>43.677/4.1868</f>
        <v>10.432072226999141</v>
      </c>
      <c r="F69" s="11">
        <f t="shared" si="21"/>
        <v>0.31814273430782514</v>
      </c>
      <c r="G69" s="14"/>
    </row>
    <row r="70" spans="1:7" ht="15.75">
      <c r="A70" s="6">
        <v>65</v>
      </c>
      <c r="B70" s="11">
        <f t="shared" si="24"/>
        <v>50.133</v>
      </c>
      <c r="C70" s="12">
        <v>11.974061335626255</v>
      </c>
      <c r="D70" s="11">
        <f t="shared" si="25"/>
        <v>50.133</v>
      </c>
      <c r="E70" s="13">
        <v>11.974061335626255</v>
      </c>
      <c r="F70" s="11">
        <f t="shared" si="21"/>
        <v>0</v>
      </c>
      <c r="G70" s="14"/>
    </row>
    <row r="71" spans="1:7" ht="15.75">
      <c r="A71" s="6">
        <v>66</v>
      </c>
      <c r="B71" s="11">
        <f t="shared" si="24"/>
        <v>38.922</v>
      </c>
      <c r="C71" s="12">
        <f>38.922/4.1868</f>
        <v>9.296359988535396</v>
      </c>
      <c r="D71" s="11">
        <f t="shared" si="25"/>
        <v>38.922</v>
      </c>
      <c r="E71" s="13">
        <f>38.922/4.1868</f>
        <v>9.296359988535396</v>
      </c>
      <c r="F71" s="11">
        <f t="shared" si="21"/>
        <v>0</v>
      </c>
      <c r="G71" s="14"/>
    </row>
    <row r="72" spans="1:7" ht="15.75">
      <c r="A72" s="6">
        <v>67</v>
      </c>
      <c r="B72" s="11">
        <f t="shared" si="24"/>
        <v>13.662</v>
      </c>
      <c r="C72" s="12">
        <f>13.662/4.1868</f>
        <v>3.26311263972485</v>
      </c>
      <c r="D72" s="11">
        <f t="shared" si="25"/>
        <v>13.662</v>
      </c>
      <c r="E72" s="13">
        <f>13.662/4.1868</f>
        <v>3.26311263972485</v>
      </c>
      <c r="F72" s="11">
        <f t="shared" si="21"/>
        <v>0</v>
      </c>
      <c r="G72" s="14"/>
    </row>
    <row r="73" spans="1:7" ht="15.75">
      <c r="A73" s="6">
        <v>68</v>
      </c>
      <c r="B73" s="11">
        <f t="shared" si="24"/>
        <v>55.918</v>
      </c>
      <c r="C73" s="12">
        <f>55.918/4.1868</f>
        <v>13.355784847616318</v>
      </c>
      <c r="D73" s="11">
        <f t="shared" si="25"/>
        <v>57.151</v>
      </c>
      <c r="E73" s="13">
        <f>57.151/4.1868</f>
        <v>13.65028183815802</v>
      </c>
      <c r="F73" s="11">
        <f t="shared" si="21"/>
        <v>0.29449699054170253</v>
      </c>
      <c r="G73" s="14"/>
    </row>
    <row r="74" spans="1:7" ht="15.75">
      <c r="A74" s="6">
        <v>69</v>
      </c>
      <c r="B74" s="11">
        <f t="shared" si="24"/>
        <v>38.506</v>
      </c>
      <c r="C74" s="12">
        <f>38.506/4.1868</f>
        <v>9.197000095538359</v>
      </c>
      <c r="D74" s="11">
        <f t="shared" si="25"/>
        <v>38.954</v>
      </c>
      <c r="E74" s="13">
        <f>38.954/4.1868</f>
        <v>9.304003057227478</v>
      </c>
      <c r="F74" s="11">
        <f t="shared" si="21"/>
        <v>0.10700296168911905</v>
      </c>
      <c r="G74" s="14"/>
    </row>
    <row r="75" spans="1:7" ht="15.75">
      <c r="A75" s="6">
        <v>70</v>
      </c>
      <c r="B75" s="11">
        <f t="shared" si="24"/>
        <v>23.721</v>
      </c>
      <c r="C75" s="12">
        <f>23.721/4.1868</f>
        <v>5.665663513900832</v>
      </c>
      <c r="D75" s="11">
        <f t="shared" si="25"/>
        <v>24.588</v>
      </c>
      <c r="E75" s="13">
        <f>24.588/4.1868</f>
        <v>5.872742906276871</v>
      </c>
      <c r="F75" s="11">
        <f t="shared" si="21"/>
        <v>0.20707939237603945</v>
      </c>
      <c r="G75" s="14"/>
    </row>
    <row r="76" spans="1:7" ht="15.75">
      <c r="A76" s="6">
        <v>71</v>
      </c>
      <c r="B76" s="11">
        <f t="shared" si="24"/>
        <v>102.091</v>
      </c>
      <c r="C76" s="12">
        <f>102.091/4.1868</f>
        <v>24.384016432597686</v>
      </c>
      <c r="D76" s="11">
        <f t="shared" si="25"/>
        <v>103.385</v>
      </c>
      <c r="E76" s="13">
        <f>103.385/4.1868</f>
        <v>24.69308302283367</v>
      </c>
      <c r="F76" s="11">
        <f t="shared" si="21"/>
        <v>0.3090665902359824</v>
      </c>
      <c r="G76" s="14"/>
    </row>
    <row r="77" spans="1:7" ht="15.75">
      <c r="A77" s="6">
        <v>72</v>
      </c>
      <c r="B77" s="11">
        <f t="shared" si="24"/>
        <v>55.624</v>
      </c>
      <c r="C77" s="12">
        <f>55.624/4.1868</f>
        <v>13.285564154007835</v>
      </c>
      <c r="D77" s="11">
        <f t="shared" si="25"/>
        <v>57.80200000000001</v>
      </c>
      <c r="E77" s="13">
        <f>57.802/4.1868</f>
        <v>13.805770516862522</v>
      </c>
      <c r="F77" s="11">
        <f t="shared" si="21"/>
        <v>0.5202063628546867</v>
      </c>
      <c r="G77" s="14"/>
    </row>
    <row r="78" spans="1:7" ht="15.75">
      <c r="A78" s="6">
        <v>73</v>
      </c>
      <c r="B78" s="11">
        <v>0</v>
      </c>
      <c r="C78" s="12">
        <f>27.25/4.1868</f>
        <v>6.508550683099265</v>
      </c>
      <c r="D78" s="11">
        <v>0</v>
      </c>
      <c r="E78" s="13">
        <f>27.735/4.1868</f>
        <v>6.6243909429636</v>
      </c>
      <c r="F78" s="11">
        <f t="shared" si="21"/>
        <v>0.11584025986433488</v>
      </c>
      <c r="G78" s="14"/>
    </row>
    <row r="79" spans="1:7" ht="15.75">
      <c r="A79" s="6">
        <v>74</v>
      </c>
      <c r="B79" s="11">
        <f aca="true" t="shared" si="26" ref="B79:B81">C79*4.1868</f>
        <v>0</v>
      </c>
      <c r="C79" s="12">
        <v>0</v>
      </c>
      <c r="D79" s="11">
        <f aca="true" t="shared" si="27" ref="D79:D81">E79*4.1868</f>
        <v>0</v>
      </c>
      <c r="E79" s="13">
        <v>0</v>
      </c>
      <c r="F79" s="11">
        <f t="shared" si="21"/>
        <v>0</v>
      </c>
      <c r="G79" s="14"/>
    </row>
    <row r="80" spans="1:7" ht="15.75">
      <c r="A80" s="6">
        <v>75</v>
      </c>
      <c r="B80" s="11">
        <f t="shared" si="26"/>
        <v>75.295</v>
      </c>
      <c r="C80" s="12">
        <f>75.295/4.1868</f>
        <v>17.98390178656731</v>
      </c>
      <c r="D80" s="11">
        <f t="shared" si="27"/>
        <v>75.295</v>
      </c>
      <c r="E80" s="13">
        <f>75.295/4.1868</f>
        <v>17.98390178656731</v>
      </c>
      <c r="F80" s="11">
        <f t="shared" si="21"/>
        <v>0</v>
      </c>
      <c r="G80" s="14"/>
    </row>
    <row r="81" spans="1:7" ht="15.75">
      <c r="A81" s="6">
        <v>76</v>
      </c>
      <c r="B81" s="11">
        <f t="shared" si="26"/>
        <v>6.468605999999999</v>
      </c>
      <c r="C81" s="12">
        <v>1.545</v>
      </c>
      <c r="D81" s="11">
        <f t="shared" si="27"/>
        <v>7.0882524</v>
      </c>
      <c r="E81" s="13">
        <v>1.693</v>
      </c>
      <c r="F81" s="11">
        <f t="shared" si="21"/>
        <v>0.14800000000000013</v>
      </c>
      <c r="G81" s="14"/>
    </row>
    <row r="82" spans="1:7" ht="15.75">
      <c r="A82" s="6">
        <v>77</v>
      </c>
      <c r="B82" s="11">
        <v>0</v>
      </c>
      <c r="C82" s="12" t="s">
        <v>13</v>
      </c>
      <c r="D82" s="11">
        <v>0</v>
      </c>
      <c r="E82" s="13" t="s">
        <v>13</v>
      </c>
      <c r="F82" s="11">
        <v>0</v>
      </c>
      <c r="G82" s="14">
        <v>0.596</v>
      </c>
    </row>
    <row r="83" spans="1:7" ht="15.75">
      <c r="A83" s="6">
        <v>78</v>
      </c>
      <c r="B83" s="11">
        <f aca="true" t="shared" si="28" ref="B83:B85">C83*4.1868</f>
        <v>30.87</v>
      </c>
      <c r="C83" s="12">
        <f>30.87/4.1868</f>
        <v>7.3731728288908</v>
      </c>
      <c r="D83" s="11">
        <f aca="true" t="shared" si="29" ref="D83:D85">E83*4.1868</f>
        <v>31.089</v>
      </c>
      <c r="E83" s="13">
        <f>31.089/4.1868</f>
        <v>7.425480080252221</v>
      </c>
      <c r="F83" s="11">
        <f aca="true" t="shared" si="30" ref="F83:F85">E83-C83</f>
        <v>0.052307251361421336</v>
      </c>
      <c r="G83" s="14"/>
    </row>
    <row r="84" spans="1:7" ht="15.75">
      <c r="A84" s="6">
        <v>79</v>
      </c>
      <c r="B84" s="11">
        <f t="shared" si="28"/>
        <v>37.22</v>
      </c>
      <c r="C84" s="12">
        <f>37.22/4.1868</f>
        <v>8.889844272475399</v>
      </c>
      <c r="D84" s="11">
        <f t="shared" si="29"/>
        <v>37.22</v>
      </c>
      <c r="E84" s="13">
        <f>37.22/4.1868</f>
        <v>8.889844272475399</v>
      </c>
      <c r="F84" s="11">
        <f t="shared" si="30"/>
        <v>0</v>
      </c>
      <c r="G84" s="14"/>
    </row>
    <row r="85" spans="1:7" ht="15.75">
      <c r="A85" s="6">
        <v>80</v>
      </c>
      <c r="B85" s="11">
        <f t="shared" si="28"/>
        <v>0</v>
      </c>
      <c r="C85" s="12">
        <v>0</v>
      </c>
      <c r="D85" s="11">
        <f t="shared" si="29"/>
        <v>3.3410664</v>
      </c>
      <c r="E85" s="13">
        <v>0.798</v>
      </c>
      <c r="F85" s="11">
        <f t="shared" si="30"/>
        <v>0.798</v>
      </c>
      <c r="G85" s="14"/>
    </row>
    <row r="86" spans="1:7" ht="15.75">
      <c r="A86" s="6">
        <v>81</v>
      </c>
      <c r="B86" s="11">
        <v>0</v>
      </c>
      <c r="C86" s="12" t="s">
        <v>12</v>
      </c>
      <c r="D86" s="11">
        <v>0</v>
      </c>
      <c r="E86" s="13" t="s">
        <v>12</v>
      </c>
      <c r="F86" s="11">
        <v>0</v>
      </c>
      <c r="G86" s="14">
        <v>0.9</v>
      </c>
    </row>
    <row r="87" spans="1:7" ht="15.75">
      <c r="A87" s="6">
        <v>82</v>
      </c>
      <c r="B87" s="11">
        <f aca="true" t="shared" si="31" ref="B87:B92">C87*4.1868</f>
        <v>26.72476308</v>
      </c>
      <c r="C87" s="12">
        <v>6.3831</v>
      </c>
      <c r="D87" s="11">
        <f aca="true" t="shared" si="32" ref="D87:D92">E87*4.1868</f>
        <v>27.230528519999996</v>
      </c>
      <c r="E87" s="13">
        <v>6.5039</v>
      </c>
      <c r="F87" s="11">
        <f aca="true" t="shared" si="33" ref="F87:F92">E87-C87</f>
        <v>0.12080000000000002</v>
      </c>
      <c r="G87" s="14"/>
    </row>
    <row r="88" spans="1:7" ht="15.75">
      <c r="A88" s="6">
        <v>83</v>
      </c>
      <c r="B88" s="11">
        <f t="shared" si="31"/>
        <v>56.21</v>
      </c>
      <c r="C88" s="12">
        <f>56.21/4.1868</f>
        <v>13.425527849431548</v>
      </c>
      <c r="D88" s="11">
        <f t="shared" si="32"/>
        <v>57.80599999999999</v>
      </c>
      <c r="E88" s="13">
        <f>57.806/4.1868</f>
        <v>13.80672590044903</v>
      </c>
      <c r="F88" s="11">
        <f t="shared" si="33"/>
        <v>0.3811980510174813</v>
      </c>
      <c r="G88" s="14"/>
    </row>
    <row r="89" spans="1:7" ht="15.75">
      <c r="A89" s="6">
        <v>84</v>
      </c>
      <c r="B89" s="11">
        <f t="shared" si="31"/>
        <v>3.7848672</v>
      </c>
      <c r="C89" s="12">
        <v>0.904</v>
      </c>
      <c r="D89" s="11">
        <f t="shared" si="32"/>
        <v>3.9481523999999997</v>
      </c>
      <c r="E89" s="13">
        <v>0.943</v>
      </c>
      <c r="F89" s="11">
        <f t="shared" si="33"/>
        <v>0.038999999999999924</v>
      </c>
      <c r="G89" s="14"/>
    </row>
    <row r="90" spans="1:7" ht="15.75">
      <c r="A90" s="6">
        <v>85</v>
      </c>
      <c r="B90" s="11">
        <f t="shared" si="31"/>
        <v>40.709</v>
      </c>
      <c r="C90" s="12">
        <f>40.709/4.1868</f>
        <v>9.723177605808733</v>
      </c>
      <c r="D90" s="11">
        <f t="shared" si="32"/>
        <v>40.924</v>
      </c>
      <c r="E90" s="13">
        <f>40.924/4.1868</f>
        <v>9.774529473583645</v>
      </c>
      <c r="F90" s="11">
        <f t="shared" si="33"/>
        <v>0.05135186777491185</v>
      </c>
      <c r="G90" s="14"/>
    </row>
    <row r="91" spans="1:7" ht="15.75">
      <c r="A91" s="6">
        <v>86</v>
      </c>
      <c r="B91" s="11">
        <f t="shared" si="31"/>
        <v>53.697</v>
      </c>
      <c r="C91" s="12">
        <f>53.697/4.1868</f>
        <v>12.82530811120665</v>
      </c>
      <c r="D91" s="11">
        <f t="shared" si="32"/>
        <v>53.702</v>
      </c>
      <c r="E91" s="13">
        <f>53.702/4.1868</f>
        <v>12.826502340689787</v>
      </c>
      <c r="F91" s="11">
        <f t="shared" si="33"/>
        <v>0.0011942294831364109</v>
      </c>
      <c r="G91" s="14"/>
    </row>
    <row r="92" spans="1:7" ht="15.75">
      <c r="A92" s="6">
        <v>87</v>
      </c>
      <c r="B92" s="11">
        <f t="shared" si="31"/>
        <v>6.69888</v>
      </c>
      <c r="C92" s="12">
        <v>1.6</v>
      </c>
      <c r="D92" s="11">
        <f t="shared" si="32"/>
        <v>7.8041952000000006</v>
      </c>
      <c r="E92" s="13">
        <v>1.864</v>
      </c>
      <c r="F92" s="11">
        <f t="shared" si="33"/>
        <v>0.264</v>
      </c>
      <c r="G92" s="14"/>
    </row>
    <row r="93" spans="1:7" ht="15.75">
      <c r="A93" s="6">
        <v>88</v>
      </c>
      <c r="B93" s="11">
        <v>0</v>
      </c>
      <c r="C93" s="12" t="s">
        <v>12</v>
      </c>
      <c r="D93" s="11">
        <v>0</v>
      </c>
      <c r="E93" s="13" t="s">
        <v>12</v>
      </c>
      <c r="F93" s="11">
        <v>0</v>
      </c>
      <c r="G93" s="14">
        <v>0.545</v>
      </c>
    </row>
    <row r="94" spans="1:7" ht="15.75">
      <c r="A94" s="6">
        <v>89</v>
      </c>
      <c r="B94" s="11">
        <f aca="true" t="shared" si="34" ref="B94:B110">C94*4.1868</f>
        <v>20.64343608</v>
      </c>
      <c r="C94" s="12">
        <v>4.9306</v>
      </c>
      <c r="D94" s="11">
        <f aca="true" t="shared" si="35" ref="D94:D110">E94*4.1868</f>
        <v>23.40923616</v>
      </c>
      <c r="E94" s="13">
        <v>5.5912</v>
      </c>
      <c r="F94" s="11">
        <f aca="true" t="shared" si="36" ref="F94:F123">E94-C94</f>
        <v>0.6605999999999996</v>
      </c>
      <c r="G94" s="14"/>
    </row>
    <row r="95" spans="1:7" ht="15.75">
      <c r="A95" s="6">
        <v>90</v>
      </c>
      <c r="B95" s="11">
        <f t="shared" si="34"/>
        <v>69.14667672</v>
      </c>
      <c r="C95" s="12">
        <v>16.5154</v>
      </c>
      <c r="D95" s="11">
        <f t="shared" si="35"/>
        <v>71.63279856</v>
      </c>
      <c r="E95" s="13">
        <v>17.1092</v>
      </c>
      <c r="F95" s="11">
        <f t="shared" si="36"/>
        <v>0.5938000000000017</v>
      </c>
      <c r="G95" s="14"/>
    </row>
    <row r="96" spans="1:7" ht="15.75">
      <c r="A96" s="6">
        <v>91</v>
      </c>
      <c r="B96" s="11">
        <f t="shared" si="34"/>
        <v>3.13</v>
      </c>
      <c r="C96" s="12">
        <f>3.13/4.1868</f>
        <v>0.7475876564440623</v>
      </c>
      <c r="D96" s="11">
        <f t="shared" si="35"/>
        <v>3.191</v>
      </c>
      <c r="E96" s="13">
        <f>3.191/4.1868</f>
        <v>0.7621572561383395</v>
      </c>
      <c r="F96" s="11">
        <f t="shared" si="36"/>
        <v>0.01456959969427718</v>
      </c>
      <c r="G96" s="14"/>
    </row>
    <row r="97" spans="1:7" ht="15.75">
      <c r="A97" s="6">
        <v>92</v>
      </c>
      <c r="B97" s="11">
        <f t="shared" si="34"/>
        <v>17.165879999999998</v>
      </c>
      <c r="C97" s="12">
        <v>4.1</v>
      </c>
      <c r="D97" s="11">
        <f t="shared" si="35"/>
        <v>17.58456</v>
      </c>
      <c r="E97" s="13">
        <v>4.2</v>
      </c>
      <c r="F97" s="11">
        <f t="shared" si="36"/>
        <v>0.10000000000000053</v>
      </c>
      <c r="G97" s="14"/>
    </row>
    <row r="98" spans="1:7" ht="15.75">
      <c r="A98" s="6">
        <v>93</v>
      </c>
      <c r="B98" s="11">
        <f t="shared" si="34"/>
        <v>2.1938832</v>
      </c>
      <c r="C98" s="12">
        <v>0.524</v>
      </c>
      <c r="D98" s="11">
        <f t="shared" si="35"/>
        <v>2.24119404</v>
      </c>
      <c r="E98" s="13">
        <v>0.5353</v>
      </c>
      <c r="F98" s="11">
        <f t="shared" si="36"/>
        <v>0.011299999999999977</v>
      </c>
      <c r="G98" s="14"/>
    </row>
    <row r="99" spans="1:7" ht="15.75">
      <c r="A99" s="6">
        <v>94</v>
      </c>
      <c r="B99" s="11">
        <f t="shared" si="34"/>
        <v>2.2064436</v>
      </c>
      <c r="C99" s="12">
        <v>0.527</v>
      </c>
      <c r="D99" s="11">
        <f t="shared" si="35"/>
        <v>2.2064436</v>
      </c>
      <c r="E99" s="13">
        <v>0.527</v>
      </c>
      <c r="F99" s="11">
        <f t="shared" si="36"/>
        <v>0</v>
      </c>
      <c r="G99" s="14"/>
    </row>
    <row r="100" spans="1:7" ht="15.75">
      <c r="A100" s="6">
        <v>95</v>
      </c>
      <c r="B100" s="11">
        <f t="shared" si="34"/>
        <v>0.024</v>
      </c>
      <c r="C100" s="12">
        <v>0.005732301519059903</v>
      </c>
      <c r="D100" s="11">
        <f t="shared" si="35"/>
        <v>0.024</v>
      </c>
      <c r="E100" s="13">
        <v>0.005732301519059903</v>
      </c>
      <c r="F100" s="11">
        <f t="shared" si="36"/>
        <v>0</v>
      </c>
      <c r="G100" s="14"/>
    </row>
    <row r="101" spans="1:7" ht="15.75">
      <c r="A101" s="6">
        <v>96</v>
      </c>
      <c r="B101" s="11">
        <f t="shared" si="34"/>
        <v>43.525</v>
      </c>
      <c r="C101" s="12">
        <f>43.525/4.1868</f>
        <v>10.395767650711761</v>
      </c>
      <c r="D101" s="11">
        <f t="shared" si="35"/>
        <v>44.315</v>
      </c>
      <c r="E101" s="13">
        <f>44.315/4.1868</f>
        <v>10.584455909047483</v>
      </c>
      <c r="F101" s="11">
        <f t="shared" si="36"/>
        <v>0.18868825833572167</v>
      </c>
      <c r="G101" s="14"/>
    </row>
    <row r="102" spans="1:7" ht="15.75">
      <c r="A102" s="6">
        <v>97</v>
      </c>
      <c r="B102" s="11">
        <f t="shared" si="34"/>
        <v>28.632</v>
      </c>
      <c r="C102" s="12">
        <f>28.632/4.1868</f>
        <v>6.838635712238465</v>
      </c>
      <c r="D102" s="11">
        <f t="shared" si="35"/>
        <v>29.894</v>
      </c>
      <c r="E102" s="13">
        <f>29.894/4.1868</f>
        <v>7.140059233782363</v>
      </c>
      <c r="F102" s="11">
        <f t="shared" si="36"/>
        <v>0.3014235215438985</v>
      </c>
      <c r="G102" s="14"/>
    </row>
    <row r="103" spans="1:7" ht="15.75">
      <c r="A103" s="6">
        <v>98</v>
      </c>
      <c r="B103" s="11">
        <f t="shared" si="34"/>
        <v>0</v>
      </c>
      <c r="C103" s="12">
        <v>0</v>
      </c>
      <c r="D103" s="11">
        <f t="shared" si="35"/>
        <v>0</v>
      </c>
      <c r="E103" s="13">
        <v>0</v>
      </c>
      <c r="F103" s="11">
        <f t="shared" si="36"/>
        <v>0</v>
      </c>
      <c r="G103" s="14"/>
    </row>
    <row r="104" spans="1:7" ht="15.75">
      <c r="A104" s="6">
        <v>99</v>
      </c>
      <c r="B104" s="11">
        <f t="shared" si="34"/>
        <v>7.43157</v>
      </c>
      <c r="C104" s="12">
        <v>1.775</v>
      </c>
      <c r="D104" s="11">
        <f t="shared" si="35"/>
        <v>8.7545988</v>
      </c>
      <c r="E104" s="13">
        <v>2.091</v>
      </c>
      <c r="F104" s="11">
        <f t="shared" si="36"/>
        <v>0.3160000000000003</v>
      </c>
      <c r="G104" s="14"/>
    </row>
    <row r="105" spans="1:7" ht="15.75">
      <c r="A105" s="6">
        <v>100</v>
      </c>
      <c r="B105" s="11">
        <f t="shared" si="34"/>
        <v>29.364</v>
      </c>
      <c r="C105" s="12">
        <f>29.364/4.1868</f>
        <v>7.013470908569791</v>
      </c>
      <c r="D105" s="11">
        <f t="shared" si="35"/>
        <v>30.62</v>
      </c>
      <c r="E105" s="13">
        <f>30.62/4.1868</f>
        <v>7.313461354733926</v>
      </c>
      <c r="F105" s="11">
        <f t="shared" si="36"/>
        <v>0.29999044616413517</v>
      </c>
      <c r="G105" s="14"/>
    </row>
    <row r="106" spans="1:7" ht="15.75">
      <c r="A106" s="6">
        <v>101</v>
      </c>
      <c r="B106" s="11">
        <f t="shared" si="34"/>
        <v>37.48</v>
      </c>
      <c r="C106" s="12">
        <f>37.48/4.1868</f>
        <v>8.951944205598547</v>
      </c>
      <c r="D106" s="11">
        <f t="shared" si="35"/>
        <v>38.626</v>
      </c>
      <c r="E106" s="13">
        <f>38.626/4.1868</f>
        <v>9.225661603133657</v>
      </c>
      <c r="F106" s="11">
        <f t="shared" si="36"/>
        <v>0.27371739753511015</v>
      </c>
      <c r="G106" s="14"/>
    </row>
    <row r="107" spans="1:7" ht="15.75">
      <c r="A107" s="6">
        <v>102</v>
      </c>
      <c r="B107" s="11">
        <f t="shared" si="34"/>
        <v>45.117</v>
      </c>
      <c r="C107" s="12">
        <f>45.117/4.1868</f>
        <v>10.776010318142735</v>
      </c>
      <c r="D107" s="11">
        <f t="shared" si="35"/>
        <v>45.125</v>
      </c>
      <c r="E107" s="13">
        <f>45.125/4.1868</f>
        <v>10.777921085315755</v>
      </c>
      <c r="F107" s="11">
        <f t="shared" si="36"/>
        <v>0.0019107671730207443</v>
      </c>
      <c r="G107" s="14"/>
    </row>
    <row r="108" spans="1:7" ht="15.75">
      <c r="A108" s="6">
        <v>103</v>
      </c>
      <c r="B108" s="11">
        <f t="shared" si="34"/>
        <v>8.046</v>
      </c>
      <c r="C108" s="12">
        <f>8.046/4.1868</f>
        <v>1.9217540842648322</v>
      </c>
      <c r="D108" s="11">
        <f t="shared" si="35"/>
        <v>9.031</v>
      </c>
      <c r="E108" s="13">
        <f>9.031/4.1868</f>
        <v>2.157017292442916</v>
      </c>
      <c r="F108" s="11">
        <f t="shared" si="36"/>
        <v>0.23526320817808366</v>
      </c>
      <c r="G108" s="14"/>
    </row>
    <row r="109" spans="1:7" ht="15.75">
      <c r="A109" s="6">
        <v>104</v>
      </c>
      <c r="B109" s="11">
        <f t="shared" si="34"/>
        <v>36.413</v>
      </c>
      <c r="C109" s="12">
        <f>36.413/4.1868</f>
        <v>8.697095633897009</v>
      </c>
      <c r="D109" s="11">
        <f t="shared" si="35"/>
        <v>37.627</v>
      </c>
      <c r="E109" s="13">
        <f>37.627/4.1868</f>
        <v>8.98705455240279</v>
      </c>
      <c r="F109" s="11">
        <f t="shared" si="36"/>
        <v>0.28995891850578204</v>
      </c>
      <c r="G109" s="14"/>
    </row>
    <row r="110" spans="1:7" ht="15.75">
      <c r="A110" s="6">
        <v>105</v>
      </c>
      <c r="B110" s="11">
        <f t="shared" si="34"/>
        <v>47.825</v>
      </c>
      <c r="C110" s="12">
        <f>47.825/4.1868</f>
        <v>11.422805006209995</v>
      </c>
      <c r="D110" s="11">
        <f t="shared" si="35"/>
        <v>48.271</v>
      </c>
      <c r="E110" s="13">
        <f>48.271/4.1868</f>
        <v>11.529330276105856</v>
      </c>
      <c r="F110" s="11">
        <f t="shared" si="36"/>
        <v>0.10652526989586164</v>
      </c>
      <c r="G110" s="14"/>
    </row>
    <row r="111" spans="1:7" ht="15.75">
      <c r="A111" s="6">
        <v>106</v>
      </c>
      <c r="B111" s="11">
        <v>0</v>
      </c>
      <c r="C111" s="12">
        <f>30.201/4.1868</f>
        <v>7.213384924047006</v>
      </c>
      <c r="D111" s="11">
        <v>0</v>
      </c>
      <c r="E111" s="13">
        <f>31.574/4.1868</f>
        <v>7.541320340116558</v>
      </c>
      <c r="F111" s="11">
        <f t="shared" si="36"/>
        <v>0.32793541606955223</v>
      </c>
      <c r="G111" s="14"/>
    </row>
    <row r="112" spans="1:7" ht="15.75">
      <c r="A112" s="6">
        <v>107</v>
      </c>
      <c r="B112" s="11">
        <f aca="true" t="shared" si="37" ref="B112:B123">C112*4.1868</f>
        <v>111.206</v>
      </c>
      <c r="C112" s="12">
        <f>111.206/4.1868</f>
        <v>26.561096780357314</v>
      </c>
      <c r="D112" s="11">
        <f aca="true" t="shared" si="38" ref="D112:D123">E112*4.1868</f>
        <v>112.623</v>
      </c>
      <c r="E112" s="13">
        <f>112.623/4.1868</f>
        <v>26.899541415878478</v>
      </c>
      <c r="F112" s="11">
        <f t="shared" si="36"/>
        <v>0.33844463552116366</v>
      </c>
      <c r="G112" s="14"/>
    </row>
    <row r="113" spans="1:7" ht="15.75">
      <c r="A113" s="6">
        <v>108</v>
      </c>
      <c r="B113" s="11">
        <f t="shared" si="37"/>
        <v>4.1700528</v>
      </c>
      <c r="C113" s="12">
        <v>0.996</v>
      </c>
      <c r="D113" s="11">
        <f t="shared" si="38"/>
        <v>4.3710192</v>
      </c>
      <c r="E113" s="13">
        <v>1.044</v>
      </c>
      <c r="F113" s="11">
        <f t="shared" si="36"/>
        <v>0.04800000000000004</v>
      </c>
      <c r="G113" s="14"/>
    </row>
    <row r="114" spans="1:7" ht="15.75">
      <c r="A114" s="6">
        <v>109</v>
      </c>
      <c r="B114" s="11">
        <f t="shared" si="37"/>
        <v>14.2895484</v>
      </c>
      <c r="C114" s="12">
        <v>3.413</v>
      </c>
      <c r="D114" s="11">
        <f t="shared" si="38"/>
        <v>15.9433344</v>
      </c>
      <c r="E114" s="13">
        <v>3.808</v>
      </c>
      <c r="F114" s="11">
        <f t="shared" si="36"/>
        <v>0.395</v>
      </c>
      <c r="G114" s="14"/>
    </row>
    <row r="115" spans="1:7" ht="15.75">
      <c r="A115" s="6">
        <v>110</v>
      </c>
      <c r="B115" s="11">
        <f t="shared" si="37"/>
        <v>48.425</v>
      </c>
      <c r="C115" s="12">
        <f>48.425/4.1868</f>
        <v>11.56611254418649</v>
      </c>
      <c r="D115" s="11">
        <f t="shared" si="38"/>
        <v>49.784</v>
      </c>
      <c r="E115" s="13">
        <f>49.784/4.1868</f>
        <v>11.890704117703258</v>
      </c>
      <c r="F115" s="11">
        <f t="shared" si="36"/>
        <v>0.32459157351676815</v>
      </c>
      <c r="G115" s="14"/>
    </row>
    <row r="116" spans="1:7" ht="15.75">
      <c r="A116" s="6">
        <v>111</v>
      </c>
      <c r="B116" s="11">
        <f t="shared" si="37"/>
        <v>3.534</v>
      </c>
      <c r="C116" s="12">
        <v>0.8440813986815706</v>
      </c>
      <c r="D116" s="11">
        <f t="shared" si="38"/>
        <v>3.534</v>
      </c>
      <c r="E116" s="13">
        <v>0.8440813986815706</v>
      </c>
      <c r="F116" s="11">
        <f t="shared" si="36"/>
        <v>0</v>
      </c>
      <c r="G116" s="14"/>
    </row>
    <row r="117" spans="1:7" ht="15.75">
      <c r="A117" s="6">
        <v>112</v>
      </c>
      <c r="B117" s="11">
        <f t="shared" si="37"/>
        <v>2.3990363999999995</v>
      </c>
      <c r="C117" s="19">
        <v>0.573</v>
      </c>
      <c r="D117" s="11">
        <f t="shared" si="38"/>
        <v>3.5462195999999997</v>
      </c>
      <c r="E117" s="13">
        <v>0.847</v>
      </c>
      <c r="F117" s="11">
        <f t="shared" si="36"/>
        <v>0.274</v>
      </c>
      <c r="G117" s="14"/>
    </row>
    <row r="118" spans="1:7" ht="15.75">
      <c r="A118" s="6">
        <v>113</v>
      </c>
      <c r="B118" s="11">
        <f t="shared" si="37"/>
        <v>0.576</v>
      </c>
      <c r="C118" s="12">
        <v>0.13757523645743766</v>
      </c>
      <c r="D118" s="11">
        <f t="shared" si="38"/>
        <v>0.576</v>
      </c>
      <c r="E118" s="13">
        <v>0.13757523645743766</v>
      </c>
      <c r="F118" s="11">
        <f t="shared" si="36"/>
        <v>0</v>
      </c>
      <c r="G118" s="14"/>
    </row>
    <row r="119" spans="1:7" ht="15.75">
      <c r="A119" s="6">
        <v>114</v>
      </c>
      <c r="B119" s="11">
        <f t="shared" si="37"/>
        <v>59.842</v>
      </c>
      <c r="C119" s="12">
        <f>59.842/4.1868</f>
        <v>14.293016145982612</v>
      </c>
      <c r="D119" s="11">
        <f t="shared" si="38"/>
        <v>61.4</v>
      </c>
      <c r="E119" s="13">
        <f>61.4/4.1868</f>
        <v>14.665138052928251</v>
      </c>
      <c r="F119" s="11">
        <f t="shared" si="36"/>
        <v>0.3721219069456385</v>
      </c>
      <c r="G119" s="14"/>
    </row>
    <row r="120" spans="1:7" ht="15.75">
      <c r="A120" s="6">
        <v>115</v>
      </c>
      <c r="B120" s="11">
        <f t="shared" si="37"/>
        <v>26.447</v>
      </c>
      <c r="C120" s="12">
        <f>26.447/4.1868</f>
        <v>6.316757428107385</v>
      </c>
      <c r="D120" s="11">
        <f t="shared" si="38"/>
        <v>26.646</v>
      </c>
      <c r="E120" s="13">
        <f>26.646/4.1868</f>
        <v>6.364287761536257</v>
      </c>
      <c r="F120" s="11">
        <f t="shared" si="36"/>
        <v>0.04753033342887214</v>
      </c>
      <c r="G120" s="14"/>
    </row>
    <row r="121" spans="1:7" ht="15.75">
      <c r="A121" s="6">
        <v>116</v>
      </c>
      <c r="B121" s="11">
        <f t="shared" si="37"/>
        <v>193.508</v>
      </c>
      <c r="C121" s="12">
        <f>193.508/4.1868</f>
        <v>46.21859176459349</v>
      </c>
      <c r="D121" s="11">
        <f t="shared" si="38"/>
        <v>195.68400000000003</v>
      </c>
      <c r="E121" s="13">
        <f>195.684/4.1868</f>
        <v>46.73832043565492</v>
      </c>
      <c r="F121" s="11">
        <f t="shared" si="36"/>
        <v>0.5197286710614293</v>
      </c>
      <c r="G121" s="14"/>
    </row>
    <row r="122" spans="1:7" ht="15.75">
      <c r="A122" s="6">
        <v>117</v>
      </c>
      <c r="B122" s="11">
        <f t="shared" si="37"/>
        <v>16.877</v>
      </c>
      <c r="C122" s="12">
        <f>16.877/4.1868</f>
        <v>4.031002197382249</v>
      </c>
      <c r="D122" s="11">
        <f t="shared" si="38"/>
        <v>16.957</v>
      </c>
      <c r="E122" s="13">
        <f>16.957/4.1868</f>
        <v>4.050109869112449</v>
      </c>
      <c r="F122" s="11">
        <f t="shared" si="36"/>
        <v>0.01910767173019945</v>
      </c>
      <c r="G122" s="14"/>
    </row>
    <row r="123" spans="1:7" ht="15.75">
      <c r="A123" s="6">
        <v>118</v>
      </c>
      <c r="B123" s="11">
        <f t="shared" si="37"/>
        <v>26.342</v>
      </c>
      <c r="C123" s="12">
        <f>26.342/4.1868</f>
        <v>6.291678608961498</v>
      </c>
      <c r="D123" s="11">
        <f t="shared" si="38"/>
        <v>26.37</v>
      </c>
      <c r="E123" s="13">
        <f>26.37/4.1868</f>
        <v>6.298366294067068</v>
      </c>
      <c r="F123" s="11">
        <f t="shared" si="36"/>
        <v>0.0066876851055699404</v>
      </c>
      <c r="G123" s="14"/>
    </row>
    <row r="124" spans="1:7" ht="15.75">
      <c r="A124" s="6">
        <v>119</v>
      </c>
      <c r="B124" s="11">
        <v>0</v>
      </c>
      <c r="C124" s="12" t="s">
        <v>13</v>
      </c>
      <c r="D124" s="11">
        <v>0</v>
      </c>
      <c r="E124" s="13" t="s">
        <v>13</v>
      </c>
      <c r="F124" s="11">
        <v>0</v>
      </c>
      <c r="G124" s="14">
        <v>0.593</v>
      </c>
    </row>
    <row r="125" spans="1:7" ht="15.75">
      <c r="A125" s="6">
        <v>120</v>
      </c>
      <c r="B125" s="11">
        <f aca="true" t="shared" si="39" ref="B125:B127">C125*4.1868</f>
        <v>3.4076365199999996</v>
      </c>
      <c r="C125" s="12">
        <v>0.8139</v>
      </c>
      <c r="D125" s="11">
        <f aca="true" t="shared" si="40" ref="D125:D127">E125*4.1868</f>
        <v>3.42773316</v>
      </c>
      <c r="E125" s="13">
        <v>0.8187</v>
      </c>
      <c r="F125" s="11">
        <f aca="true" t="shared" si="41" ref="F125:F127">E125-C125</f>
        <v>0.0048000000000000265</v>
      </c>
      <c r="G125" s="14"/>
    </row>
    <row r="126" spans="1:7" ht="15.75">
      <c r="A126" s="6">
        <v>121</v>
      </c>
      <c r="B126" s="11">
        <f t="shared" si="39"/>
        <v>18.023</v>
      </c>
      <c r="C126" s="12">
        <f>18.023/4.1868</f>
        <v>4.304719594917359</v>
      </c>
      <c r="D126" s="11">
        <f t="shared" si="40"/>
        <v>18.023</v>
      </c>
      <c r="E126" s="13">
        <f>18.023/4.1868</f>
        <v>4.304719594917359</v>
      </c>
      <c r="F126" s="11">
        <f t="shared" si="41"/>
        <v>0</v>
      </c>
      <c r="G126" s="14"/>
    </row>
    <row r="127" spans="1:7" ht="15.75">
      <c r="A127" s="6">
        <v>122</v>
      </c>
      <c r="B127" s="11">
        <f t="shared" si="39"/>
        <v>36.826</v>
      </c>
      <c r="C127" s="12">
        <f>36.826/4.1868</f>
        <v>8.795738989204166</v>
      </c>
      <c r="D127" s="11">
        <f t="shared" si="40"/>
        <v>36.826</v>
      </c>
      <c r="E127" s="13">
        <f>36.826/4.1868</f>
        <v>8.795738989204166</v>
      </c>
      <c r="F127" s="11">
        <f t="shared" si="41"/>
        <v>0</v>
      </c>
      <c r="G127" s="14"/>
    </row>
    <row r="128" spans="1:7" ht="15.75">
      <c r="A128" s="6">
        <v>123</v>
      </c>
      <c r="B128" s="11">
        <v>0</v>
      </c>
      <c r="C128" s="12" t="s">
        <v>12</v>
      </c>
      <c r="D128" s="11">
        <v>0</v>
      </c>
      <c r="E128" s="13" t="s">
        <v>12</v>
      </c>
      <c r="F128" s="11">
        <v>0</v>
      </c>
      <c r="G128" s="14">
        <v>0.98</v>
      </c>
    </row>
    <row r="129" spans="1:7" ht="15.75">
      <c r="A129" s="6">
        <v>124</v>
      </c>
      <c r="B129" s="11">
        <f aca="true" t="shared" si="42" ref="B129:B139">C129*4.1868</f>
        <v>7.126</v>
      </c>
      <c r="C129" s="12">
        <f>7.126/4.1868</f>
        <v>1.7020158593675363</v>
      </c>
      <c r="D129" s="11">
        <f aca="true" t="shared" si="43" ref="D129:D139">E129*4.1868</f>
        <v>7.175</v>
      </c>
      <c r="E129" s="13">
        <f>7.175/4.1868</f>
        <v>1.7137193083022835</v>
      </c>
      <c r="F129" s="11">
        <f aca="true" t="shared" si="44" ref="F129:F139">E129-C129</f>
        <v>0.011703448934747174</v>
      </c>
      <c r="G129" s="14"/>
    </row>
    <row r="130" spans="1:7" ht="15.75">
      <c r="A130" s="6">
        <v>125</v>
      </c>
      <c r="B130" s="11">
        <f t="shared" si="42"/>
        <v>66.436</v>
      </c>
      <c r="C130" s="12">
        <f>66.436/4.1868</f>
        <v>15.867965988344322</v>
      </c>
      <c r="D130" s="11">
        <f t="shared" si="43"/>
        <v>69.402</v>
      </c>
      <c r="E130" s="13">
        <f>69.402/4.1868</f>
        <v>16.576382917741473</v>
      </c>
      <c r="F130" s="11">
        <f t="shared" si="44"/>
        <v>0.708416929397151</v>
      </c>
      <c r="G130" s="14"/>
    </row>
    <row r="131" spans="1:7" ht="15.75">
      <c r="A131" s="6">
        <v>126</v>
      </c>
      <c r="B131" s="11">
        <f t="shared" si="42"/>
        <v>93.646</v>
      </c>
      <c r="C131" s="12">
        <f>93.646/4.1868</f>
        <v>22.366962835578487</v>
      </c>
      <c r="D131" s="11">
        <f t="shared" si="43"/>
        <v>95.794</v>
      </c>
      <c r="E131" s="13">
        <f>95.794/4.1868</f>
        <v>22.880003821534345</v>
      </c>
      <c r="F131" s="11">
        <f t="shared" si="44"/>
        <v>0.5130409859558576</v>
      </c>
      <c r="G131" s="14"/>
    </row>
    <row r="132" spans="1:7" ht="15.75">
      <c r="A132" s="6">
        <v>127</v>
      </c>
      <c r="B132" s="11">
        <f t="shared" si="42"/>
        <v>6.109</v>
      </c>
      <c r="C132" s="12">
        <f>6.109/4.1868</f>
        <v>1.4591095824973728</v>
      </c>
      <c r="D132" s="11">
        <f t="shared" si="43"/>
        <v>6.348</v>
      </c>
      <c r="E132" s="13">
        <f>6.348/4.1868</f>
        <v>1.5161937517913442</v>
      </c>
      <c r="F132" s="11">
        <f t="shared" si="44"/>
        <v>0.05708416929397142</v>
      </c>
      <c r="G132" s="14"/>
    </row>
    <row r="133" spans="1:7" ht="15.75">
      <c r="A133" s="6">
        <v>128</v>
      </c>
      <c r="B133" s="11">
        <f t="shared" si="42"/>
        <v>10.75</v>
      </c>
      <c r="C133" s="12">
        <f>10.75/4.1868</f>
        <v>2.5675933887455815</v>
      </c>
      <c r="D133" s="11">
        <f t="shared" si="43"/>
        <v>10.78</v>
      </c>
      <c r="E133" s="13">
        <f>10.78/4.1868</f>
        <v>2.574758765644406</v>
      </c>
      <c r="F133" s="11">
        <f t="shared" si="44"/>
        <v>0.007165376898824682</v>
      </c>
      <c r="G133" s="14"/>
    </row>
    <row r="134" spans="1:7" ht="15.75">
      <c r="A134" s="6">
        <v>129</v>
      </c>
      <c r="B134" s="11">
        <f t="shared" si="42"/>
        <v>60.245</v>
      </c>
      <c r="C134" s="12">
        <f>60.245/4.1868</f>
        <v>14.389271042323493</v>
      </c>
      <c r="D134" s="11">
        <f t="shared" si="43"/>
        <v>61.757</v>
      </c>
      <c r="E134" s="13">
        <f>61.757/4.1868</f>
        <v>14.750406038024266</v>
      </c>
      <c r="F134" s="11">
        <f t="shared" si="44"/>
        <v>0.36113499570077323</v>
      </c>
      <c r="G134" s="14"/>
    </row>
    <row r="135" spans="1:7" ht="15.75">
      <c r="A135" s="6">
        <v>130</v>
      </c>
      <c r="B135" s="11">
        <f t="shared" si="42"/>
        <v>0</v>
      </c>
      <c r="C135" s="12">
        <v>0</v>
      </c>
      <c r="D135" s="11">
        <f t="shared" si="43"/>
        <v>0</v>
      </c>
      <c r="E135" s="13">
        <v>0</v>
      </c>
      <c r="F135" s="11">
        <f t="shared" si="44"/>
        <v>0</v>
      </c>
      <c r="G135" s="14"/>
    </row>
    <row r="136" spans="1:7" ht="15.75">
      <c r="A136" s="6">
        <v>131</v>
      </c>
      <c r="B136" s="11">
        <f t="shared" si="42"/>
        <v>18.8406</v>
      </c>
      <c r="C136" s="12">
        <v>4.5</v>
      </c>
      <c r="D136" s="11">
        <f t="shared" si="43"/>
        <v>20.096639999999997</v>
      </c>
      <c r="E136" s="13">
        <v>4.8</v>
      </c>
      <c r="F136" s="11">
        <f t="shared" si="44"/>
        <v>0.2999999999999998</v>
      </c>
      <c r="G136" s="14"/>
    </row>
    <row r="137" spans="1:7" ht="15.75">
      <c r="A137" s="6">
        <v>132</v>
      </c>
      <c r="B137" s="11">
        <f t="shared" si="42"/>
        <v>5.92</v>
      </c>
      <c r="C137" s="12">
        <f>5.92/4.1868</f>
        <v>1.413967708034776</v>
      </c>
      <c r="D137" s="11">
        <f t="shared" si="43"/>
        <v>6.575</v>
      </c>
      <c r="E137" s="13">
        <f>6.575/4.1868</f>
        <v>1.5704117703257858</v>
      </c>
      <c r="F137" s="11">
        <f t="shared" si="44"/>
        <v>0.15644406229100993</v>
      </c>
      <c r="G137" s="14"/>
    </row>
    <row r="138" spans="1:7" ht="15.75">
      <c r="A138" s="6">
        <v>133</v>
      </c>
      <c r="B138" s="11">
        <f t="shared" si="42"/>
        <v>10.372</v>
      </c>
      <c r="C138" s="12">
        <f>10.372/4.1868</f>
        <v>2.4773096398203878</v>
      </c>
      <c r="D138" s="11">
        <f t="shared" si="43"/>
        <v>10.372</v>
      </c>
      <c r="E138" s="13">
        <f>10.372/4.1868</f>
        <v>2.4773096398203878</v>
      </c>
      <c r="F138" s="11">
        <f t="shared" si="44"/>
        <v>0</v>
      </c>
      <c r="G138" s="14"/>
    </row>
    <row r="139" spans="1:7" ht="15.75">
      <c r="A139" s="6">
        <v>134</v>
      </c>
      <c r="B139" s="11">
        <f t="shared" si="42"/>
        <v>51.497640000000004</v>
      </c>
      <c r="C139" s="12">
        <v>12.3</v>
      </c>
      <c r="D139" s="11">
        <f t="shared" si="43"/>
        <v>54.84708</v>
      </c>
      <c r="E139" s="13">
        <v>13.1</v>
      </c>
      <c r="F139" s="11">
        <f t="shared" si="44"/>
        <v>0.7999999999999989</v>
      </c>
      <c r="G139" s="14"/>
    </row>
    <row r="140" spans="1:7" ht="15.75">
      <c r="A140" s="6">
        <v>135</v>
      </c>
      <c r="B140" s="11">
        <v>0</v>
      </c>
      <c r="C140" s="12" t="s">
        <v>12</v>
      </c>
      <c r="D140" s="11">
        <v>0</v>
      </c>
      <c r="E140" s="13" t="s">
        <v>12</v>
      </c>
      <c r="F140" s="11">
        <v>0</v>
      </c>
      <c r="G140" s="14">
        <v>0.903</v>
      </c>
    </row>
    <row r="141" spans="1:7" ht="15.75">
      <c r="A141" s="6">
        <v>136</v>
      </c>
      <c r="B141" s="11">
        <f aca="true" t="shared" si="45" ref="B141:B153">C141*4.1868</f>
        <v>13.911</v>
      </c>
      <c r="C141" s="12">
        <f>13.911/4.1868</f>
        <v>3.322585267985096</v>
      </c>
      <c r="D141" s="11">
        <f aca="true" t="shared" si="46" ref="D141:D153">E141*4.1868</f>
        <v>13.912</v>
      </c>
      <c r="E141" s="13">
        <f>13.912/4.1868</f>
        <v>3.322824113881724</v>
      </c>
      <c r="F141" s="11">
        <f aca="true" t="shared" si="47" ref="F141:F153">E141-C141</f>
        <v>0.00023884589662781508</v>
      </c>
      <c r="G141" s="14"/>
    </row>
    <row r="142" spans="1:7" ht="15.75">
      <c r="A142" s="6">
        <v>137</v>
      </c>
      <c r="B142" s="11">
        <f t="shared" si="45"/>
        <v>5.971</v>
      </c>
      <c r="C142" s="12">
        <f>5.971/4.1868</f>
        <v>1.4261488487627783</v>
      </c>
      <c r="D142" s="11">
        <f t="shared" si="46"/>
        <v>5.971</v>
      </c>
      <c r="E142" s="13">
        <f>5.971/4.1868</f>
        <v>1.4261488487627783</v>
      </c>
      <c r="F142" s="11">
        <f t="shared" si="47"/>
        <v>0</v>
      </c>
      <c r="G142" s="14"/>
    </row>
    <row r="143" spans="1:7" ht="15.75">
      <c r="A143" s="6">
        <v>138</v>
      </c>
      <c r="B143" s="11">
        <f t="shared" si="45"/>
        <v>0</v>
      </c>
      <c r="C143" s="12">
        <v>0</v>
      </c>
      <c r="D143" s="11">
        <f t="shared" si="46"/>
        <v>0</v>
      </c>
      <c r="E143" s="13">
        <v>0</v>
      </c>
      <c r="F143" s="11">
        <f t="shared" si="47"/>
        <v>0</v>
      </c>
      <c r="G143" s="14"/>
    </row>
    <row r="144" spans="1:7" ht="15.75">
      <c r="A144" s="6">
        <v>139</v>
      </c>
      <c r="B144" s="11">
        <f t="shared" si="45"/>
        <v>18.94</v>
      </c>
      <c r="C144" s="12">
        <f>18.94/4.1868</f>
        <v>4.5237412821247736</v>
      </c>
      <c r="D144" s="11">
        <f t="shared" si="46"/>
        <v>19.554</v>
      </c>
      <c r="E144" s="13">
        <f>19.554/4.1868</f>
        <v>4.670392662654056</v>
      </c>
      <c r="F144" s="11">
        <f t="shared" si="47"/>
        <v>0.14665138052928217</v>
      </c>
      <c r="G144" s="14"/>
    </row>
    <row r="145" spans="1:7" ht="15.75">
      <c r="A145" s="6">
        <v>140</v>
      </c>
      <c r="B145" s="11">
        <f t="shared" si="45"/>
        <v>47.787</v>
      </c>
      <c r="C145" s="12">
        <f>47.787/4.1868</f>
        <v>11.413728862138148</v>
      </c>
      <c r="D145" s="11">
        <f t="shared" si="46"/>
        <v>50.839</v>
      </c>
      <c r="E145" s="13">
        <f>50.839/4.1868</f>
        <v>12.142686538645266</v>
      </c>
      <c r="F145" s="11">
        <f t="shared" si="47"/>
        <v>0.7289576765071182</v>
      </c>
      <c r="G145" s="14"/>
    </row>
    <row r="146" spans="1:7" ht="15.75">
      <c r="A146" s="6">
        <v>141</v>
      </c>
      <c r="B146" s="11">
        <f t="shared" si="45"/>
        <v>59.1887916</v>
      </c>
      <c r="C146" s="12">
        <v>14.137</v>
      </c>
      <c r="D146" s="11">
        <f t="shared" si="46"/>
        <v>61.4077956</v>
      </c>
      <c r="E146" s="13">
        <v>14.667</v>
      </c>
      <c r="F146" s="11">
        <f t="shared" si="47"/>
        <v>0.5299999999999994</v>
      </c>
      <c r="G146" s="14"/>
    </row>
    <row r="147" spans="1:7" ht="15.75">
      <c r="A147" s="6">
        <v>142</v>
      </c>
      <c r="B147" s="11">
        <f t="shared" si="45"/>
        <v>70.821</v>
      </c>
      <c r="C147" s="12">
        <f>70.821/4.1868</f>
        <v>16.91530524505589</v>
      </c>
      <c r="D147" s="11">
        <f t="shared" si="46"/>
        <v>72.015</v>
      </c>
      <c r="E147" s="13">
        <f>72.015/4.1868</f>
        <v>17.20048724562912</v>
      </c>
      <c r="F147" s="11">
        <f t="shared" si="47"/>
        <v>0.2851820005732293</v>
      </c>
      <c r="G147" s="14"/>
    </row>
    <row r="148" spans="1:7" ht="15.75">
      <c r="A148" s="6">
        <v>143</v>
      </c>
      <c r="B148" s="11">
        <f t="shared" si="45"/>
        <v>8.562006</v>
      </c>
      <c r="C148" s="12">
        <v>2.045</v>
      </c>
      <c r="D148" s="11">
        <f t="shared" si="46"/>
        <v>8.562006</v>
      </c>
      <c r="E148" s="13">
        <v>2.045</v>
      </c>
      <c r="F148" s="11">
        <f t="shared" si="47"/>
        <v>0</v>
      </c>
      <c r="G148" s="14"/>
    </row>
    <row r="149" spans="1:7" ht="15.75">
      <c r="A149" s="6">
        <v>144</v>
      </c>
      <c r="B149" s="11">
        <f t="shared" si="45"/>
        <v>129.358</v>
      </c>
      <c r="C149" s="12">
        <f>129.358/4.1868</f>
        <v>30.896627495939622</v>
      </c>
      <c r="D149" s="11">
        <f t="shared" si="46"/>
        <v>131.731</v>
      </c>
      <c r="E149" s="13">
        <f>131.731/4.1868</f>
        <v>31.463408808636668</v>
      </c>
      <c r="F149" s="11">
        <f t="shared" si="47"/>
        <v>0.5667813126970458</v>
      </c>
      <c r="G149" s="14"/>
    </row>
    <row r="150" spans="1:7" ht="15.75">
      <c r="A150" s="6">
        <v>145</v>
      </c>
      <c r="B150" s="11">
        <f t="shared" si="45"/>
        <v>31.193</v>
      </c>
      <c r="C150" s="12">
        <f>31.193/4.1868</f>
        <v>7.450320053501481</v>
      </c>
      <c r="D150" s="11">
        <f t="shared" si="46"/>
        <v>31.193</v>
      </c>
      <c r="E150" s="13">
        <f>31.193/4.1868</f>
        <v>7.450320053501481</v>
      </c>
      <c r="F150" s="11">
        <f t="shared" si="47"/>
        <v>0</v>
      </c>
      <c r="G150" s="14"/>
    </row>
    <row r="151" spans="1:7" ht="15.75">
      <c r="A151" s="6">
        <v>146</v>
      </c>
      <c r="B151" s="11">
        <f t="shared" si="45"/>
        <v>22.609</v>
      </c>
      <c r="C151" s="12">
        <f>22.609/4.1868</f>
        <v>5.4000668768510565</v>
      </c>
      <c r="D151" s="11">
        <f t="shared" si="46"/>
        <v>24.113</v>
      </c>
      <c r="E151" s="13">
        <f>24.113/4.1868</f>
        <v>5.75929110537881</v>
      </c>
      <c r="F151" s="11">
        <f t="shared" si="47"/>
        <v>0.3592242285277534</v>
      </c>
      <c r="G151" s="14"/>
    </row>
    <row r="152" spans="1:7" ht="15.75">
      <c r="A152" s="6">
        <v>147</v>
      </c>
      <c r="B152" s="11">
        <f t="shared" si="45"/>
        <v>7.682999999999999</v>
      </c>
      <c r="C152" s="12">
        <v>1.8350530237890512</v>
      </c>
      <c r="D152" s="11">
        <f t="shared" si="46"/>
        <v>7.682999999999999</v>
      </c>
      <c r="E152" s="13">
        <v>1.8350530237890512</v>
      </c>
      <c r="F152" s="11">
        <f t="shared" si="47"/>
        <v>0</v>
      </c>
      <c r="G152" s="14"/>
    </row>
    <row r="153" spans="1:7" ht="15.75">
      <c r="A153" s="6">
        <v>148</v>
      </c>
      <c r="B153" s="11">
        <f t="shared" si="45"/>
        <v>39.795</v>
      </c>
      <c r="C153" s="12">
        <f>39.795/4.1868</f>
        <v>9.504872456291201</v>
      </c>
      <c r="D153" s="11">
        <f t="shared" si="46"/>
        <v>39.90500000000001</v>
      </c>
      <c r="E153" s="13">
        <f>39.905/4.1868</f>
        <v>9.531145504920227</v>
      </c>
      <c r="F153" s="11">
        <f t="shared" si="47"/>
        <v>0.026273048629025908</v>
      </c>
      <c r="G153" s="14"/>
    </row>
    <row r="154" spans="1:7" ht="15.75">
      <c r="A154" s="6">
        <v>149</v>
      </c>
      <c r="B154" s="11">
        <v>0</v>
      </c>
      <c r="C154" s="12" t="s">
        <v>13</v>
      </c>
      <c r="D154" s="11">
        <v>0</v>
      </c>
      <c r="E154" s="13" t="s">
        <v>13</v>
      </c>
      <c r="F154" s="11">
        <v>0</v>
      </c>
      <c r="G154" s="14">
        <v>0.597</v>
      </c>
    </row>
    <row r="155" spans="1:7" ht="15.75">
      <c r="A155" s="6">
        <v>150</v>
      </c>
      <c r="B155" s="11">
        <f aca="true" t="shared" si="48" ref="B155:B157">C155*4.1868</f>
        <v>107.8687152</v>
      </c>
      <c r="C155" s="19">
        <v>25.764</v>
      </c>
      <c r="D155" s="11">
        <f aca="true" t="shared" si="49" ref="D155:D157">E155*4.1868</f>
        <v>109.17080999999999</v>
      </c>
      <c r="E155" s="13">
        <v>26.075</v>
      </c>
      <c r="F155" s="11">
        <f aca="true" t="shared" si="50" ref="F155:F157">E155-C155</f>
        <v>0.31099999999999994</v>
      </c>
      <c r="G155" s="14"/>
    </row>
    <row r="156" spans="1:7" ht="15.75">
      <c r="A156" s="6">
        <v>151</v>
      </c>
      <c r="B156" s="11">
        <f t="shared" si="48"/>
        <v>48.575253599999996</v>
      </c>
      <c r="C156" s="20">
        <v>11.602</v>
      </c>
      <c r="D156" s="11">
        <f t="shared" si="49"/>
        <v>49.5675252</v>
      </c>
      <c r="E156" s="16">
        <v>11.839</v>
      </c>
      <c r="F156" s="11">
        <f t="shared" si="50"/>
        <v>0.2370000000000001</v>
      </c>
      <c r="G156" s="14"/>
    </row>
    <row r="157" spans="1:7" ht="15.75">
      <c r="A157" s="6">
        <v>152</v>
      </c>
      <c r="B157" s="11">
        <f t="shared" si="48"/>
        <v>78.05283768000001</v>
      </c>
      <c r="C157" s="21">
        <v>18.6426</v>
      </c>
      <c r="D157" s="11">
        <f t="shared" si="49"/>
        <v>81.26830007999999</v>
      </c>
      <c r="E157" s="22">
        <v>19.4106</v>
      </c>
      <c r="F157" s="11">
        <f t="shared" si="50"/>
        <v>0.7679999999999971</v>
      </c>
      <c r="G157" s="14"/>
    </row>
    <row r="158" spans="1:8" ht="15.75">
      <c r="A158" s="23" t="s">
        <v>14</v>
      </c>
      <c r="B158" s="24"/>
      <c r="C158" s="25"/>
      <c r="D158" s="26"/>
      <c r="E158" s="25"/>
      <c r="F158" s="27">
        <v>46.807</v>
      </c>
      <c r="G158" s="27"/>
      <c r="H158" s="2"/>
    </row>
    <row r="159" spans="1:7" ht="15.75">
      <c r="A159" s="28" t="s">
        <v>15</v>
      </c>
      <c r="B159" s="28"/>
      <c r="C159" s="29"/>
      <c r="D159" s="28"/>
      <c r="E159" s="29"/>
      <c r="F159" s="30">
        <v>30.0930355402694</v>
      </c>
      <c r="G159" s="30"/>
    </row>
    <row r="160" spans="1:7" ht="15.75">
      <c r="A160" s="28" t="s">
        <v>16</v>
      </c>
      <c r="B160" s="28"/>
      <c r="C160" s="29"/>
      <c r="D160" s="28"/>
      <c r="E160" s="29"/>
      <c r="F160" s="30">
        <v>10.855</v>
      </c>
      <c r="G160" s="30"/>
    </row>
    <row r="161" spans="1:7" ht="15.75">
      <c r="A161" s="31" t="s">
        <v>17</v>
      </c>
      <c r="B161" s="31"/>
      <c r="C161" s="31"/>
      <c r="D161" s="31"/>
      <c r="E161" s="31"/>
      <c r="F161" s="11">
        <f>F158-F159-F160</f>
        <v>5.8589644597306005</v>
      </c>
      <c r="G161" s="11"/>
    </row>
    <row r="162" spans="1:7" ht="15.75">
      <c r="A162" s="31" t="s">
        <v>18</v>
      </c>
      <c r="B162" s="31"/>
      <c r="C162" s="31"/>
      <c r="D162" s="31"/>
      <c r="E162" s="31"/>
      <c r="F162" s="32">
        <f>F161/7548.5</f>
        <v>0.0007761759898960854</v>
      </c>
      <c r="G162" s="32"/>
    </row>
  </sheetData>
  <sheetProtection selectLockedCells="1" selectUnlockedCells="1"/>
  <mergeCells count="16">
    <mergeCell ref="A1:F1"/>
    <mergeCell ref="A2:A5"/>
    <mergeCell ref="B2:G2"/>
    <mergeCell ref="B3:C3"/>
    <mergeCell ref="D3:E3"/>
    <mergeCell ref="F3:F5"/>
    <mergeCell ref="G3:G5"/>
    <mergeCell ref="B5:C5"/>
    <mergeCell ref="D5:E5"/>
    <mergeCell ref="F158:G158"/>
    <mergeCell ref="F159:G159"/>
    <mergeCell ref="F160:G160"/>
    <mergeCell ref="A161:E161"/>
    <mergeCell ref="F161:G161"/>
    <mergeCell ref="A162:E162"/>
    <mergeCell ref="F162:G162"/>
  </mergeCells>
  <printOptions/>
  <pageMargins left="0.7083333333333334" right="0.7083333333333334" top="0.44027777777777777" bottom="0.3298611111111111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2020-04-30T07:09:55Z</dcterms:modified>
  <cp:category/>
  <cp:version/>
  <cp:contentType/>
  <cp:contentStatus/>
  <cp:revision>3</cp:revision>
</cp:coreProperties>
</file>