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0" activeTab="0"/>
  </bookViews>
  <sheets>
    <sheet name="Макаренко 2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<sst xmlns="http://schemas.openxmlformats.org/spreadsheetml/2006/main" count="56" uniqueCount="20">
  <si>
    <t>Квартира</t>
  </si>
  <si>
    <t>Показания прибора</t>
  </si>
  <si>
    <t>Начало периода</t>
  </si>
  <si>
    <t>Конец периода</t>
  </si>
  <si>
    <t>Приращение за период по счетчикам</t>
  </si>
  <si>
    <t>По нормативу, по среднему</t>
  </si>
  <si>
    <t xml:space="preserve"> кДж</t>
  </si>
  <si>
    <t>Гкал</t>
  </si>
  <si>
    <t>кДж</t>
  </si>
  <si>
    <t>н/р</t>
  </si>
  <si>
    <t>н/п</t>
  </si>
  <si>
    <t>Расход по ОДПУ</t>
  </si>
  <si>
    <t>Расход по ИПУ</t>
  </si>
  <si>
    <t>Корректировка</t>
  </si>
  <si>
    <t>Расход на ОДН</t>
  </si>
  <si>
    <t>ОДН на 1 м2</t>
  </si>
  <si>
    <t>Показания приборов учета отопления за Октябрь  2020 г по адресу: г.Белгород ул.Макаренко д.22</t>
  </si>
  <si>
    <t>15.10.2020.  0:00:00</t>
  </si>
  <si>
    <t>27.10.2020. 0:00:00</t>
  </si>
  <si>
    <t>нет доступа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</si>
</sst>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"/>
    <numFmt numFmtId="166" formatCode="#,##0.000"/>
    <numFmt numFmtId="167" formatCode="0.00000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2"/>
      <color indexed="10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sz val="11"/>
      <color indexed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33" borderId="0" xfId="0" applyFill="1" applyAlignment="1">
      <alignment/>
    </xf>
    <xf numFmtId="164" fontId="2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/>
    </xf>
    <xf numFmtId="166" fontId="7" fillId="33" borderId="11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64" fontId="4" fillId="33" borderId="13" xfId="0" applyNumberFormat="1" applyFont="1" applyFill="1" applyBorder="1" applyAlignment="1">
      <alignment vertical="center"/>
    </xf>
    <xf numFmtId="164" fontId="4" fillId="0" borderId="13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64" fontId="4" fillId="33" borderId="10" xfId="0" applyNumberFormat="1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164" fontId="4" fillId="33" borderId="14" xfId="0" applyNumberFormat="1" applyFont="1" applyFill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165" fontId="8" fillId="34" borderId="11" xfId="0" applyNumberFormat="1" applyFont="1" applyFill="1" applyBorder="1" applyAlignment="1">
      <alignment/>
    </xf>
    <xf numFmtId="165" fontId="8" fillId="35" borderId="11" xfId="0" applyNumberFormat="1" applyFont="1" applyFill="1" applyBorder="1" applyAlignment="1">
      <alignment/>
    </xf>
    <xf numFmtId="165" fontId="8" fillId="36" borderId="11" xfId="0" applyNumberFormat="1" applyFont="1" applyFill="1" applyBorder="1" applyAlignment="1">
      <alignment/>
    </xf>
    <xf numFmtId="165" fontId="8" fillId="34" borderId="15" xfId="0" applyNumberFormat="1" applyFont="1" applyFill="1" applyBorder="1" applyAlignment="1">
      <alignment/>
    </xf>
    <xf numFmtId="165" fontId="8" fillId="34" borderId="16" xfId="0" applyNumberFormat="1" applyFont="1" applyFill="1" applyBorder="1" applyAlignment="1">
      <alignment/>
    </xf>
    <xf numFmtId="165" fontId="8" fillId="35" borderId="15" xfId="0" applyNumberFormat="1" applyFont="1" applyFill="1" applyBorder="1" applyAlignment="1">
      <alignment/>
    </xf>
    <xf numFmtId="165" fontId="8" fillId="35" borderId="17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4" fillId="34" borderId="10" xfId="0" applyNumberFormat="1" applyFont="1" applyFill="1" applyBorder="1" applyAlignment="1">
      <alignment horizontal="center" vertical="center"/>
    </xf>
    <xf numFmtId="164" fontId="4" fillId="37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67" fontId="4" fillId="0" borderId="10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SAKOVAII\Desktop\&#1054;&#1082;&#1090;&#1103;&#1073;&#1088;&#1100;%202020\&#1064;&#1091;&#1084;&#1080;&#1083;&#1086;&#1074;&#1072;-&#1052;&#1072;&#1082;&#1072;&#1088;&#1077;&#1085;&#1082;&#1086;%20&#1086;&#1082;&#1090;&#1103;&#1073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 для РКЦ"/>
      <sheetName val="Сводная для УК"/>
      <sheetName val="Макаренко 22"/>
      <sheetName val="Макаренко 24"/>
      <sheetName val="Макаренко 26"/>
      <sheetName val="Шумилова 6"/>
      <sheetName val="Шумилова 8 "/>
      <sheetName val="Шумилова 10"/>
      <sheetName val="Газовиков 13а"/>
    </sheetNames>
    <sheetDataSet>
      <sheetData sheetId="2">
        <row r="12">
          <cell r="J12">
            <v>0.7798064516129032</v>
          </cell>
        </row>
        <row r="19">
          <cell r="J19">
            <v>0.5322096774193549</v>
          </cell>
        </row>
        <row r="21">
          <cell r="J21">
            <v>0.6901451612903226</v>
          </cell>
        </row>
        <row r="25">
          <cell r="J25">
            <v>0.3602903225806451</v>
          </cell>
        </row>
        <row r="28">
          <cell r="J28">
            <v>0.533032258064516</v>
          </cell>
        </row>
        <row r="32">
          <cell r="J32">
            <v>0.3109354838709677</v>
          </cell>
        </row>
        <row r="41">
          <cell r="J41">
            <v>0.3092903225806451</v>
          </cell>
        </row>
        <row r="45">
          <cell r="J45">
            <v>0.3257419354838709</v>
          </cell>
        </row>
        <row r="48">
          <cell r="J48">
            <v>0.6876774193548385</v>
          </cell>
        </row>
        <row r="49">
          <cell r="J49">
            <v>0.49272580645161285</v>
          </cell>
        </row>
        <row r="55">
          <cell r="J55">
            <v>0.5346774193548387</v>
          </cell>
        </row>
        <row r="58">
          <cell r="J58">
            <v>0.49272580645161285</v>
          </cell>
        </row>
        <row r="59">
          <cell r="J59">
            <v>0.3109354838709677</v>
          </cell>
        </row>
        <row r="64">
          <cell r="J64">
            <v>0.5338548387096774</v>
          </cell>
        </row>
        <row r="66">
          <cell r="J66">
            <v>0.6843870967741935</v>
          </cell>
        </row>
        <row r="81">
          <cell r="J81">
            <v>0.3265645161290323</v>
          </cell>
        </row>
        <row r="83">
          <cell r="J83">
            <v>0.29859677419354835</v>
          </cell>
        </row>
        <row r="126">
          <cell r="J126">
            <v>0.3257419354838709</v>
          </cell>
        </row>
        <row r="127">
          <cell r="J127">
            <v>0.5371451612903225</v>
          </cell>
        </row>
        <row r="137">
          <cell r="J137">
            <v>0.2985967741935484</v>
          </cell>
        </row>
        <row r="139">
          <cell r="J139">
            <v>0.4951935483870968</v>
          </cell>
        </row>
        <row r="144">
          <cell r="J144">
            <v>0.32738709677419353</v>
          </cell>
        </row>
        <row r="148">
          <cell r="J148">
            <v>0.4943709677419354</v>
          </cell>
        </row>
        <row r="153">
          <cell r="J153">
            <v>0.32738709677419353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2"/>
  <sheetViews>
    <sheetView tabSelected="1" zoomScale="120" zoomScaleNormal="120" zoomScalePageLayoutView="0" workbookViewId="0" topLeftCell="A1">
      <pane xSplit="1" ySplit="5" topLeftCell="B150" activePane="bottomRight" state="frozen"/>
      <selection pane="topLeft" activeCell="A1" sqref="A1"/>
      <selection pane="topRight" activeCell="B1" sqref="B1"/>
      <selection pane="bottomLeft" activeCell="A148" sqref="A148"/>
      <selection pane="bottomRight" activeCell="F159" sqref="F159:G160"/>
    </sheetView>
  </sheetViews>
  <sheetFormatPr defaultColWidth="9.140625" defaultRowHeight="15"/>
  <cols>
    <col min="1" max="1" width="7.421875" style="0" customWidth="1"/>
    <col min="2" max="2" width="17.140625" style="0" customWidth="1"/>
    <col min="3" max="3" width="15.421875" style="1" customWidth="1"/>
    <col min="4" max="4" width="13.7109375" style="0" customWidth="1"/>
    <col min="5" max="5" width="14.8515625" style="1" customWidth="1"/>
    <col min="6" max="6" width="13.8515625" style="0" customWidth="1"/>
    <col min="7" max="7" width="14.8515625" style="2" customWidth="1"/>
  </cols>
  <sheetData>
    <row r="1" spans="1:6" ht="42" customHeight="1">
      <c r="A1" s="37" t="s">
        <v>16</v>
      </c>
      <c r="B1" s="37"/>
      <c r="C1" s="37"/>
      <c r="D1" s="37"/>
      <c r="E1" s="37"/>
      <c r="F1" s="37"/>
    </row>
    <row r="2" spans="1:7" ht="17.25" customHeight="1">
      <c r="A2" s="38" t="s">
        <v>0</v>
      </c>
      <c r="B2" s="39" t="s">
        <v>1</v>
      </c>
      <c r="C2" s="39"/>
      <c r="D2" s="39"/>
      <c r="E2" s="39"/>
      <c r="F2" s="39"/>
      <c r="G2" s="39"/>
    </row>
    <row r="3" spans="1:7" ht="16.5" customHeight="1">
      <c r="A3" s="38"/>
      <c r="B3" s="40" t="s">
        <v>2</v>
      </c>
      <c r="C3" s="40"/>
      <c r="D3" s="40" t="s">
        <v>3</v>
      </c>
      <c r="E3" s="40"/>
      <c r="F3" s="38" t="s">
        <v>4</v>
      </c>
      <c r="G3" s="41" t="s">
        <v>5</v>
      </c>
    </row>
    <row r="4" spans="1:7" ht="18.75" customHeight="1">
      <c r="A4" s="38"/>
      <c r="B4" s="5" t="s">
        <v>6</v>
      </c>
      <c r="C4" s="6" t="s">
        <v>7</v>
      </c>
      <c r="D4" s="4" t="s">
        <v>8</v>
      </c>
      <c r="E4" s="6" t="s">
        <v>7</v>
      </c>
      <c r="F4" s="38"/>
      <c r="G4" s="41"/>
    </row>
    <row r="5" spans="1:7" ht="17.25" customHeight="1">
      <c r="A5" s="38"/>
      <c r="B5" s="42" t="s">
        <v>17</v>
      </c>
      <c r="C5" s="42"/>
      <c r="D5" s="42" t="s">
        <v>18</v>
      </c>
      <c r="E5" s="42"/>
      <c r="F5" s="38"/>
      <c r="G5" s="41"/>
    </row>
    <row r="6" spans="1:7" ht="15.75">
      <c r="A6" s="3">
        <v>1</v>
      </c>
      <c r="B6" s="7">
        <f>C6*4.1868</f>
        <v>102.172</v>
      </c>
      <c r="C6" s="23">
        <f>102.172/4.1868</f>
        <v>24.403362950224516</v>
      </c>
      <c r="D6" s="7">
        <f>E6*4.1868</f>
        <v>103.385</v>
      </c>
      <c r="E6" s="23">
        <f>103.385/4.1868</f>
        <v>24.69308302283367</v>
      </c>
      <c r="F6" s="7">
        <v>0.29</v>
      </c>
      <c r="G6" s="8"/>
    </row>
    <row r="7" spans="1:7" ht="15.75">
      <c r="A7" s="3">
        <v>2</v>
      </c>
      <c r="B7" s="7">
        <v>0</v>
      </c>
      <c r="C7" s="24" t="s">
        <v>9</v>
      </c>
      <c r="D7" s="7">
        <v>0</v>
      </c>
      <c r="E7" s="24" t="s">
        <v>9</v>
      </c>
      <c r="F7" s="7"/>
      <c r="G7" s="8">
        <v>0.32985483870967736</v>
      </c>
    </row>
    <row r="8" spans="1:7" ht="15.75">
      <c r="A8" s="3">
        <v>3</v>
      </c>
      <c r="B8" s="7">
        <f>C8*4.1868</f>
        <v>111.465</v>
      </c>
      <c r="C8" s="24">
        <f>111.465/4.1868</f>
        <v>26.622957867583835</v>
      </c>
      <c r="D8" s="7">
        <f>E8*4.1868</f>
        <v>112.331</v>
      </c>
      <c r="E8" s="24">
        <f>112.331/4.1868</f>
        <v>26.829798414063248</v>
      </c>
      <c r="F8" s="7">
        <f aca="true" t="shared" si="0" ref="F8:F70">E8-C8</f>
        <v>0.20684054647941252</v>
      </c>
      <c r="G8" s="8"/>
    </row>
    <row r="9" spans="1:7" ht="15.75">
      <c r="A9" s="3">
        <v>4</v>
      </c>
      <c r="B9" s="7">
        <f>C9*4.1868</f>
        <v>8.912441159999998</v>
      </c>
      <c r="C9" s="24">
        <v>2.1287</v>
      </c>
      <c r="D9" s="7">
        <f>E9*4.1868</f>
        <v>9.16323048</v>
      </c>
      <c r="E9" s="24">
        <v>2.1886</v>
      </c>
      <c r="F9" s="7">
        <f t="shared" si="0"/>
        <v>0.059900000000000286</v>
      </c>
      <c r="G9" s="8"/>
    </row>
    <row r="10" spans="1:7" ht="15.75">
      <c r="A10" s="3">
        <v>5</v>
      </c>
      <c r="B10" s="7">
        <f aca="true" t="shared" si="1" ref="B10:B21">C10*4.1868</f>
        <v>9.88670952</v>
      </c>
      <c r="C10" s="24">
        <v>2.3614</v>
      </c>
      <c r="D10" s="7">
        <f aca="true" t="shared" si="2" ref="D10:D21">E10*4.1868</f>
        <v>10.3581432</v>
      </c>
      <c r="E10" s="24">
        <v>2.474</v>
      </c>
      <c r="F10" s="7">
        <f t="shared" si="0"/>
        <v>0.11260000000000003</v>
      </c>
      <c r="G10" s="8"/>
    </row>
    <row r="11" spans="1:7" ht="15.75">
      <c r="A11" s="3">
        <v>6</v>
      </c>
      <c r="B11" s="7">
        <f t="shared" si="1"/>
        <v>0.0041868</v>
      </c>
      <c r="C11" s="24">
        <v>0.001</v>
      </c>
      <c r="D11" s="7">
        <f t="shared" si="2"/>
        <v>0.054428399999999995</v>
      </c>
      <c r="E11" s="24">
        <v>0.013</v>
      </c>
      <c r="F11" s="7">
        <f t="shared" si="0"/>
        <v>0.012</v>
      </c>
      <c r="G11" s="8"/>
    </row>
    <row r="12" spans="1:7" ht="15.75">
      <c r="A12" s="3">
        <v>7</v>
      </c>
      <c r="B12" s="7">
        <f t="shared" si="1"/>
        <v>11.18461752</v>
      </c>
      <c r="C12" s="24">
        <v>2.6714</v>
      </c>
      <c r="D12" s="7">
        <f t="shared" si="2"/>
        <v>11.892186719999998</v>
      </c>
      <c r="E12" s="24">
        <v>2.8404</v>
      </c>
      <c r="F12" s="7">
        <f t="shared" si="0"/>
        <v>0.1689999999999996</v>
      </c>
      <c r="G12" s="8"/>
    </row>
    <row r="13" spans="1:7" ht="15.75">
      <c r="A13" s="3">
        <v>8</v>
      </c>
      <c r="B13" s="7">
        <f t="shared" si="1"/>
        <v>0</v>
      </c>
      <c r="C13" s="25">
        <v>0</v>
      </c>
      <c r="D13" s="7"/>
      <c r="E13" s="25" t="s">
        <v>19</v>
      </c>
      <c r="F13" s="7"/>
      <c r="G13" s="8">
        <f>'[1]Макаренко 22'!J12</f>
        <v>0.7798064516129032</v>
      </c>
    </row>
    <row r="14" spans="1:7" ht="15.75">
      <c r="A14" s="3">
        <v>9</v>
      </c>
      <c r="B14" s="7">
        <f t="shared" si="1"/>
        <v>100.086</v>
      </c>
      <c r="C14" s="24">
        <f>100.086/4.1868</f>
        <v>23.90513040985956</v>
      </c>
      <c r="D14" s="7">
        <f t="shared" si="2"/>
        <v>100.935</v>
      </c>
      <c r="E14" s="24">
        <f>100.935/4.1868</f>
        <v>24.107910576096305</v>
      </c>
      <c r="F14" s="7">
        <f t="shared" si="0"/>
        <v>0.20278016623674588</v>
      </c>
      <c r="G14" s="8"/>
    </row>
    <row r="15" spans="1:7" ht="15.75">
      <c r="A15" s="3">
        <v>10</v>
      </c>
      <c r="B15" s="7">
        <f t="shared" si="1"/>
        <v>18.296316</v>
      </c>
      <c r="C15" s="24">
        <v>4.37</v>
      </c>
      <c r="D15" s="7">
        <f t="shared" si="2"/>
        <v>18.9829512</v>
      </c>
      <c r="E15" s="24">
        <v>4.534</v>
      </c>
      <c r="F15" s="7">
        <f t="shared" si="0"/>
        <v>0.1639999999999997</v>
      </c>
      <c r="G15" s="8"/>
    </row>
    <row r="16" spans="1:7" ht="15.75">
      <c r="A16" s="3">
        <v>11</v>
      </c>
      <c r="B16" s="7">
        <f t="shared" si="1"/>
        <v>0</v>
      </c>
      <c r="C16" s="24">
        <v>0</v>
      </c>
      <c r="D16" s="7">
        <f t="shared" si="2"/>
        <v>0.0041868</v>
      </c>
      <c r="E16" s="24">
        <v>0.001</v>
      </c>
      <c r="F16" s="7">
        <f t="shared" si="0"/>
        <v>0.001</v>
      </c>
      <c r="G16" s="8"/>
    </row>
    <row r="17" spans="1:7" ht="15.75">
      <c r="A17" s="3">
        <v>12</v>
      </c>
      <c r="B17" s="7">
        <f t="shared" si="1"/>
        <v>0</v>
      </c>
      <c r="C17" s="24">
        <v>0</v>
      </c>
      <c r="D17" s="7"/>
      <c r="E17" s="24" t="s">
        <v>19</v>
      </c>
      <c r="F17" s="7"/>
      <c r="G17" s="8">
        <v>0.3722999999999999</v>
      </c>
    </row>
    <row r="18" spans="1:7" ht="15.75">
      <c r="A18" s="3">
        <v>13</v>
      </c>
      <c r="B18" s="7">
        <f t="shared" si="1"/>
        <v>0.146538</v>
      </c>
      <c r="C18" s="24">
        <v>0.035</v>
      </c>
      <c r="D18" s="7">
        <f t="shared" si="2"/>
        <v>0.4689216</v>
      </c>
      <c r="E18" s="24">
        <v>0.112</v>
      </c>
      <c r="F18" s="7">
        <f t="shared" si="0"/>
        <v>0.077</v>
      </c>
      <c r="G18" s="8"/>
    </row>
    <row r="19" spans="1:7" ht="15.75">
      <c r="A19" s="3">
        <v>14</v>
      </c>
      <c r="B19" s="7">
        <f t="shared" si="1"/>
        <v>1.9636091999999998</v>
      </c>
      <c r="C19" s="25">
        <v>0.469</v>
      </c>
      <c r="D19" s="7">
        <f t="shared" si="2"/>
        <v>1.9887299999999999</v>
      </c>
      <c r="E19" s="25">
        <v>0.475</v>
      </c>
      <c r="F19" s="7">
        <f t="shared" si="0"/>
        <v>0.006000000000000005</v>
      </c>
      <c r="G19" s="8"/>
    </row>
    <row r="20" spans="1:7" ht="15.75">
      <c r="A20" s="3">
        <v>15</v>
      </c>
      <c r="B20" s="7">
        <v>0</v>
      </c>
      <c r="C20" s="23" t="s">
        <v>9</v>
      </c>
      <c r="D20" s="7">
        <v>0</v>
      </c>
      <c r="E20" s="23" t="s">
        <v>9</v>
      </c>
      <c r="F20" s="7"/>
      <c r="G20" s="8">
        <f>'[1]Макаренко 22'!J19</f>
        <v>0.5322096774193549</v>
      </c>
    </row>
    <row r="21" spans="1:7" ht="15.75">
      <c r="A21" s="3">
        <v>16</v>
      </c>
      <c r="B21" s="7">
        <f t="shared" si="1"/>
        <v>0.0083736</v>
      </c>
      <c r="C21" s="24">
        <v>0.002</v>
      </c>
      <c r="D21" s="7">
        <f t="shared" si="2"/>
        <v>0.0083736</v>
      </c>
      <c r="E21" s="24">
        <v>0.002</v>
      </c>
      <c r="F21" s="7">
        <f t="shared" si="0"/>
        <v>0</v>
      </c>
      <c r="G21" s="8"/>
    </row>
    <row r="22" spans="1:7" ht="15.75">
      <c r="A22" s="3">
        <v>17</v>
      </c>
      <c r="B22" s="7">
        <v>0</v>
      </c>
      <c r="C22" s="23">
        <f>112.866/4.1868</f>
        <v>26.957580968758958</v>
      </c>
      <c r="D22" s="7">
        <v>0</v>
      </c>
      <c r="E22" s="23" t="s">
        <v>9</v>
      </c>
      <c r="F22" s="7"/>
      <c r="G22" s="8">
        <f>'[1]Макаренко 22'!J21</f>
        <v>0.6901451612903226</v>
      </c>
    </row>
    <row r="23" spans="1:7" ht="15.75">
      <c r="A23" s="3">
        <v>18</v>
      </c>
      <c r="B23" s="7">
        <f>C23*4.1868</f>
        <v>0</v>
      </c>
      <c r="C23" s="24">
        <v>0</v>
      </c>
      <c r="D23" s="7">
        <f>E23*4.1868</f>
        <v>0.72347904</v>
      </c>
      <c r="E23" s="24">
        <v>0.1728</v>
      </c>
      <c r="F23" s="7">
        <f t="shared" si="0"/>
        <v>0.1728</v>
      </c>
      <c r="G23" s="8"/>
    </row>
    <row r="24" spans="1:7" ht="15.75">
      <c r="A24" s="3">
        <v>19</v>
      </c>
      <c r="B24" s="7">
        <f>C24*4.1868</f>
        <v>10.307901600000001</v>
      </c>
      <c r="C24" s="24">
        <v>2.462</v>
      </c>
      <c r="D24" s="7">
        <f>E24*4.1868</f>
        <v>10.592604</v>
      </c>
      <c r="E24" s="24">
        <v>2.53</v>
      </c>
      <c r="F24" s="7">
        <f t="shared" si="0"/>
        <v>0.06799999999999962</v>
      </c>
      <c r="G24" s="8"/>
    </row>
    <row r="25" spans="1:7" ht="15.75">
      <c r="A25" s="3">
        <v>20</v>
      </c>
      <c r="B25" s="7">
        <f>C25*4.1868</f>
        <v>14.0320602</v>
      </c>
      <c r="C25" s="25">
        <v>3.3515</v>
      </c>
      <c r="D25" s="7">
        <f>E25*4.1868</f>
        <v>14.529452039999999</v>
      </c>
      <c r="E25" s="25">
        <v>3.4703</v>
      </c>
      <c r="F25" s="7">
        <f t="shared" si="0"/>
        <v>0.1187999999999998</v>
      </c>
      <c r="G25" s="8"/>
    </row>
    <row r="26" spans="1:7" ht="15.75">
      <c r="A26" s="3">
        <v>21</v>
      </c>
      <c r="B26" s="7">
        <v>0</v>
      </c>
      <c r="C26" s="25" t="s">
        <v>10</v>
      </c>
      <c r="D26" s="7">
        <v>0</v>
      </c>
      <c r="E26" s="25" t="s">
        <v>10</v>
      </c>
      <c r="F26" s="7"/>
      <c r="G26" s="8">
        <f>'[1]Макаренко 22'!J25</f>
        <v>0.3602903225806451</v>
      </c>
    </row>
    <row r="27" spans="1:7" ht="15.75">
      <c r="A27" s="3">
        <v>22</v>
      </c>
      <c r="B27" s="7">
        <f>C27*4.1868</f>
        <v>0</v>
      </c>
      <c r="C27" s="25">
        <v>0</v>
      </c>
      <c r="D27" s="7">
        <f>E27*4.1868</f>
        <v>0</v>
      </c>
      <c r="E27" s="25">
        <v>0</v>
      </c>
      <c r="F27" s="7">
        <f t="shared" si="0"/>
        <v>0</v>
      </c>
      <c r="G27" s="8"/>
    </row>
    <row r="28" spans="1:7" ht="15.75">
      <c r="A28" s="3">
        <v>23</v>
      </c>
      <c r="B28" s="7">
        <f>C28*4.1868</f>
        <v>25.332</v>
      </c>
      <c r="C28" s="23">
        <f>25.332/4.1868</f>
        <v>6.050444253367727</v>
      </c>
      <c r="D28" s="7">
        <f>E28*4.1868</f>
        <v>25.366</v>
      </c>
      <c r="E28" s="23">
        <f>25.366/4.1868</f>
        <v>6.0585650138530625</v>
      </c>
      <c r="F28" s="7">
        <f t="shared" si="0"/>
        <v>0.008120760485335055</v>
      </c>
      <c r="G28" s="8"/>
    </row>
    <row r="29" spans="1:7" ht="15.75">
      <c r="A29" s="3">
        <v>24</v>
      </c>
      <c r="B29" s="7">
        <v>0</v>
      </c>
      <c r="C29" s="25" t="s">
        <v>9</v>
      </c>
      <c r="D29" s="7">
        <v>0</v>
      </c>
      <c r="E29" s="25" t="s">
        <v>9</v>
      </c>
      <c r="F29" s="7"/>
      <c r="G29" s="8">
        <f>'[1]Макаренко 22'!J28</f>
        <v>0.533032258064516</v>
      </c>
    </row>
    <row r="30" spans="1:7" ht="15.75">
      <c r="A30" s="3">
        <v>25</v>
      </c>
      <c r="B30" s="7">
        <f>C30*4.1868</f>
        <v>44.844</v>
      </c>
      <c r="C30" s="24">
        <f>44.844/4.1868</f>
        <v>10.710805388363429</v>
      </c>
      <c r="D30" s="7">
        <f>E30*4.1868</f>
        <v>45.33</v>
      </c>
      <c r="E30" s="24">
        <f>45.33/4.1868</f>
        <v>10.826884494124391</v>
      </c>
      <c r="F30" s="7">
        <f t="shared" si="0"/>
        <v>0.11607910576096181</v>
      </c>
      <c r="G30" s="8"/>
    </row>
    <row r="31" spans="1:7" ht="15.75">
      <c r="A31" s="3">
        <v>26</v>
      </c>
      <c r="B31" s="7">
        <f>C31*4.1868</f>
        <v>85.04699999999998</v>
      </c>
      <c r="C31" s="25">
        <f>85.047/4.1868</f>
        <v>20.313126970478645</v>
      </c>
      <c r="D31" s="7">
        <f>E31*4.1868</f>
        <v>85.5</v>
      </c>
      <c r="E31" s="25">
        <f>85.5/4.1868</f>
        <v>20.421324161650904</v>
      </c>
      <c r="F31" s="7">
        <f t="shared" si="0"/>
        <v>0.10819719117225901</v>
      </c>
      <c r="G31" s="8"/>
    </row>
    <row r="32" spans="1:7" ht="15.75">
      <c r="A32" s="3">
        <v>27</v>
      </c>
      <c r="B32" s="7">
        <f aca="true" t="shared" si="3" ref="B32:B44">C32*4.1868</f>
        <v>18.712999999999997</v>
      </c>
      <c r="C32" s="24">
        <f>18.713/4.1868</f>
        <v>4.4695232635903315</v>
      </c>
      <c r="D32" s="7">
        <f aca="true" t="shared" si="4" ref="D32:D44">E32*4.1868</f>
        <v>19.883</v>
      </c>
      <c r="E32" s="24">
        <f>19.883/4.1868</f>
        <v>4.748972962644502</v>
      </c>
      <c r="F32" s="7">
        <f t="shared" si="0"/>
        <v>0.2794496990541706</v>
      </c>
      <c r="G32" s="8"/>
    </row>
    <row r="33" spans="1:7" ht="15.75">
      <c r="A33" s="3">
        <v>28</v>
      </c>
      <c r="B33" s="7">
        <v>0</v>
      </c>
      <c r="C33" s="25" t="s">
        <v>10</v>
      </c>
      <c r="D33" s="7">
        <v>0</v>
      </c>
      <c r="E33" s="25" t="s">
        <v>10</v>
      </c>
      <c r="F33" s="7"/>
      <c r="G33" s="8">
        <f>'[1]Макаренко 22'!J32</f>
        <v>0.3109354838709677</v>
      </c>
    </row>
    <row r="34" spans="1:7" ht="15.75">
      <c r="A34" s="3">
        <v>29</v>
      </c>
      <c r="B34" s="7">
        <f t="shared" si="3"/>
        <v>51.545</v>
      </c>
      <c r="C34" s="26">
        <f>51.545/4.1868</f>
        <v>12.311311741664278</v>
      </c>
      <c r="D34" s="7">
        <f t="shared" si="4"/>
        <v>51.774</v>
      </c>
      <c r="E34" s="26">
        <f>51.774/4.1868</f>
        <v>12.366007451991976</v>
      </c>
      <c r="F34" s="7">
        <f t="shared" si="0"/>
        <v>0.05469571032769771</v>
      </c>
      <c r="G34" s="8"/>
    </row>
    <row r="35" spans="1:7" ht="15.75">
      <c r="A35" s="3">
        <v>30</v>
      </c>
      <c r="B35" s="7">
        <f t="shared" si="3"/>
        <v>0</v>
      </c>
      <c r="C35" s="26">
        <v>0</v>
      </c>
      <c r="D35" s="7">
        <f t="shared" si="4"/>
        <v>0</v>
      </c>
      <c r="E35" s="26">
        <v>0</v>
      </c>
      <c r="F35" s="7">
        <f t="shared" si="0"/>
        <v>0</v>
      </c>
      <c r="G35" s="8"/>
    </row>
    <row r="36" spans="1:7" ht="15.75">
      <c r="A36" s="3">
        <v>31</v>
      </c>
      <c r="B36" s="7">
        <f t="shared" si="3"/>
        <v>0</v>
      </c>
      <c r="C36" s="23">
        <v>0</v>
      </c>
      <c r="D36" s="7">
        <f t="shared" si="4"/>
        <v>0</v>
      </c>
      <c r="E36" s="23">
        <v>0</v>
      </c>
      <c r="F36" s="7">
        <f t="shared" si="0"/>
        <v>0</v>
      </c>
      <c r="G36" s="8"/>
    </row>
    <row r="37" spans="1:7" ht="15.75">
      <c r="A37" s="3">
        <v>32</v>
      </c>
      <c r="B37" s="7">
        <f t="shared" si="3"/>
        <v>9.898</v>
      </c>
      <c r="C37" s="23">
        <f>9.898/4.1868</f>
        <v>2.364096684818955</v>
      </c>
      <c r="D37" s="7">
        <f t="shared" si="4"/>
        <v>9.928</v>
      </c>
      <c r="E37" s="23">
        <f>9.928/4.1868</f>
        <v>2.37126206171778</v>
      </c>
      <c r="F37" s="7">
        <f t="shared" si="0"/>
        <v>0.0071653768988251265</v>
      </c>
      <c r="G37" s="8"/>
    </row>
    <row r="38" spans="1:7" ht="15.75">
      <c r="A38" s="3">
        <v>33</v>
      </c>
      <c r="B38" s="7">
        <f t="shared" si="3"/>
        <v>6.3555624</v>
      </c>
      <c r="C38" s="24">
        <v>1.518</v>
      </c>
      <c r="D38" s="7">
        <f t="shared" si="4"/>
        <v>6.535594799999999</v>
      </c>
      <c r="E38" s="24">
        <v>1.561</v>
      </c>
      <c r="F38" s="7">
        <f t="shared" si="0"/>
        <v>0.04299999999999993</v>
      </c>
      <c r="G38" s="8"/>
    </row>
    <row r="39" spans="1:7" ht="15.75">
      <c r="A39" s="3">
        <v>34</v>
      </c>
      <c r="B39" s="7">
        <f t="shared" si="3"/>
        <v>0</v>
      </c>
      <c r="C39" s="27">
        <v>0</v>
      </c>
      <c r="D39" s="7">
        <f t="shared" si="4"/>
        <v>0</v>
      </c>
      <c r="E39" s="27">
        <v>0</v>
      </c>
      <c r="F39" s="7">
        <f t="shared" si="0"/>
        <v>0</v>
      </c>
      <c r="G39" s="8"/>
    </row>
    <row r="40" spans="1:7" ht="15.75">
      <c r="A40" s="3">
        <v>35</v>
      </c>
      <c r="B40" s="7">
        <f t="shared" si="3"/>
        <v>0</v>
      </c>
      <c r="C40" s="24">
        <v>0</v>
      </c>
      <c r="D40" s="7">
        <f t="shared" si="4"/>
        <v>0</v>
      </c>
      <c r="E40" s="24">
        <v>0</v>
      </c>
      <c r="F40" s="7">
        <f t="shared" si="0"/>
        <v>0</v>
      </c>
      <c r="G40" s="8"/>
    </row>
    <row r="41" spans="1:7" ht="15.75">
      <c r="A41" s="3">
        <v>36</v>
      </c>
      <c r="B41" s="7">
        <f t="shared" si="3"/>
        <v>0</v>
      </c>
      <c r="C41" s="23">
        <v>0</v>
      </c>
      <c r="D41" s="7">
        <f t="shared" si="4"/>
        <v>0</v>
      </c>
      <c r="E41" s="23">
        <v>0</v>
      </c>
      <c r="F41" s="7">
        <f t="shared" si="0"/>
        <v>0</v>
      </c>
      <c r="G41" s="8"/>
    </row>
    <row r="42" spans="1:7" ht="15.75">
      <c r="A42" s="3">
        <v>37</v>
      </c>
      <c r="B42" s="7">
        <v>0</v>
      </c>
      <c r="C42" s="25" t="s">
        <v>10</v>
      </c>
      <c r="D42" s="7">
        <v>0</v>
      </c>
      <c r="E42" s="25" t="s">
        <v>10</v>
      </c>
      <c r="F42" s="7"/>
      <c r="G42" s="8">
        <f>'[1]Макаренко 22'!J41</f>
        <v>0.3092903225806451</v>
      </c>
    </row>
    <row r="43" spans="1:7" ht="15.75">
      <c r="A43" s="3">
        <v>38</v>
      </c>
      <c r="B43" s="7">
        <f t="shared" si="3"/>
        <v>2.531</v>
      </c>
      <c r="C43" s="24">
        <v>0.6045189643641923</v>
      </c>
      <c r="D43" s="7">
        <f t="shared" si="4"/>
        <v>2.54</v>
      </c>
      <c r="E43" s="24">
        <f>2.54/4.1868</f>
        <v>0.6066685774338397</v>
      </c>
      <c r="F43" s="7">
        <f t="shared" si="0"/>
        <v>0.002149613069647449</v>
      </c>
      <c r="G43" s="8"/>
    </row>
    <row r="44" spans="1:7" ht="15.75">
      <c r="A44" s="3">
        <v>39</v>
      </c>
      <c r="B44" s="7">
        <f t="shared" si="3"/>
        <v>0.1172304</v>
      </c>
      <c r="C44" s="24">
        <v>0.028</v>
      </c>
      <c r="D44" s="7">
        <f t="shared" si="4"/>
        <v>0.1214172</v>
      </c>
      <c r="E44" s="24">
        <v>0.029</v>
      </c>
      <c r="F44" s="7">
        <f t="shared" si="0"/>
        <v>0.0010000000000000009</v>
      </c>
      <c r="G44" s="8"/>
    </row>
    <row r="45" spans="1:7" ht="15.75">
      <c r="A45" s="3">
        <v>40</v>
      </c>
      <c r="B45" s="7">
        <f>C45*4.1868</f>
        <v>4.396</v>
      </c>
      <c r="C45" s="24">
        <v>1.0499665615744722</v>
      </c>
      <c r="D45" s="7">
        <f>E45*4.1868</f>
        <v>4.396</v>
      </c>
      <c r="E45" s="24">
        <v>1.0499665615744722</v>
      </c>
      <c r="F45" s="7">
        <f t="shared" si="0"/>
        <v>0</v>
      </c>
      <c r="G45" s="8"/>
    </row>
    <row r="46" spans="1:7" ht="15.75">
      <c r="A46" s="3">
        <v>41</v>
      </c>
      <c r="B46" s="7">
        <v>0</v>
      </c>
      <c r="C46" s="24">
        <f>58.83/4.1868</f>
        <v>14.051304098595587</v>
      </c>
      <c r="D46" s="7">
        <v>0</v>
      </c>
      <c r="E46" s="24" t="s">
        <v>9</v>
      </c>
      <c r="F46" s="7"/>
      <c r="G46" s="8">
        <f>'[1]Макаренко 22'!J45</f>
        <v>0.3257419354838709</v>
      </c>
    </row>
    <row r="47" spans="1:7" ht="15.75">
      <c r="A47" s="3">
        <v>42</v>
      </c>
      <c r="B47" s="7">
        <f>C47*4.1868</f>
        <v>7.29298692</v>
      </c>
      <c r="C47" s="23">
        <v>1.7419</v>
      </c>
      <c r="D47" s="7">
        <f>E47*4.1868</f>
        <v>7.58941236</v>
      </c>
      <c r="E47" s="23">
        <v>1.8127</v>
      </c>
      <c r="F47" s="7">
        <f t="shared" si="0"/>
        <v>0.07079999999999997</v>
      </c>
      <c r="G47" s="8"/>
    </row>
    <row r="48" spans="1:7" ht="15.75">
      <c r="A48" s="3">
        <v>43</v>
      </c>
      <c r="B48" s="7">
        <f>C48*4.1868</f>
        <v>90.137</v>
      </c>
      <c r="C48" s="23">
        <f>90.137/4.1868</f>
        <v>21.528852584312602</v>
      </c>
      <c r="D48" s="7">
        <f>E48*4.1868</f>
        <v>90.737</v>
      </c>
      <c r="E48" s="23">
        <f>90.737/4.1868</f>
        <v>21.6721601222891</v>
      </c>
      <c r="F48" s="7">
        <f t="shared" si="0"/>
        <v>0.1433075379764972</v>
      </c>
      <c r="G48" s="8"/>
    </row>
    <row r="49" spans="1:7" ht="15.75">
      <c r="A49" s="3">
        <v>44</v>
      </c>
      <c r="B49" s="7">
        <f>C49*4.1868</f>
        <v>0</v>
      </c>
      <c r="C49" s="23">
        <v>0</v>
      </c>
      <c r="D49" s="7"/>
      <c r="E49" s="23" t="s">
        <v>19</v>
      </c>
      <c r="F49" s="7"/>
      <c r="G49" s="8">
        <f>'[1]Макаренко 22'!J48</f>
        <v>0.6876774193548385</v>
      </c>
    </row>
    <row r="50" spans="1:7" ht="15.75">
      <c r="A50" s="3">
        <v>45</v>
      </c>
      <c r="B50" s="7">
        <v>0</v>
      </c>
      <c r="C50" s="24" t="s">
        <v>9</v>
      </c>
      <c r="D50" s="7">
        <v>0</v>
      </c>
      <c r="E50" s="24" t="s">
        <v>9</v>
      </c>
      <c r="F50" s="7"/>
      <c r="G50" s="8">
        <f>'[1]Макаренко 22'!J49</f>
        <v>0.49272580645161285</v>
      </c>
    </row>
    <row r="51" spans="1:7" ht="15.75">
      <c r="A51" s="3">
        <v>46</v>
      </c>
      <c r="B51" s="7">
        <f>C51*4.1868</f>
        <v>48.317</v>
      </c>
      <c r="C51" s="24">
        <f>48.317/4.1868</f>
        <v>11.540317187350722</v>
      </c>
      <c r="D51" s="7">
        <f>E51*4.1868</f>
        <v>48.317</v>
      </c>
      <c r="E51" s="24">
        <f>48.317/4.1868</f>
        <v>11.540317187350722</v>
      </c>
      <c r="F51" s="7">
        <f t="shared" si="0"/>
        <v>0</v>
      </c>
      <c r="G51" s="8"/>
    </row>
    <row r="52" spans="1:7" ht="15.75">
      <c r="A52" s="3">
        <v>47</v>
      </c>
      <c r="B52" s="7">
        <f>C52*4.1868</f>
        <v>8.835</v>
      </c>
      <c r="C52" s="23">
        <v>2.1102034967039267</v>
      </c>
      <c r="D52" s="7">
        <f>E52*4.1868</f>
        <v>8.835</v>
      </c>
      <c r="E52" s="23">
        <f>8.835/4.1868</f>
        <v>2.1102034967039267</v>
      </c>
      <c r="F52" s="7">
        <f t="shared" si="0"/>
        <v>0</v>
      </c>
      <c r="G52" s="8"/>
    </row>
    <row r="53" spans="1:7" ht="15.75">
      <c r="A53" s="3">
        <v>48</v>
      </c>
      <c r="B53" s="7">
        <f>C53*4.1868</f>
        <v>31.459</v>
      </c>
      <c r="C53" s="24">
        <f>31.459/4.1868</f>
        <v>7.513853062004395</v>
      </c>
      <c r="D53" s="7">
        <f>E53*4.1868</f>
        <v>31.921</v>
      </c>
      <c r="E53" s="24">
        <f>31.921/4.1868</f>
        <v>7.624199866246298</v>
      </c>
      <c r="F53" s="7">
        <f t="shared" si="0"/>
        <v>0.11034680424190313</v>
      </c>
      <c r="G53" s="8"/>
    </row>
    <row r="54" spans="1:7" ht="15.75">
      <c r="A54" s="3">
        <v>49</v>
      </c>
      <c r="B54" s="7">
        <f>C54*4.1868</f>
        <v>0</v>
      </c>
      <c r="C54" s="23">
        <v>0</v>
      </c>
      <c r="D54" s="7">
        <f>E54*4.1868</f>
        <v>0</v>
      </c>
      <c r="E54" s="23">
        <v>0</v>
      </c>
      <c r="F54" s="7">
        <f t="shared" si="0"/>
        <v>0</v>
      </c>
      <c r="G54" s="8"/>
    </row>
    <row r="55" spans="1:7" ht="15.75">
      <c r="A55" s="3">
        <v>50</v>
      </c>
      <c r="B55" s="7">
        <f>C55*4.1868</f>
        <v>54.14300000000001</v>
      </c>
      <c r="C55" s="24">
        <f>54.143/4.1868</f>
        <v>12.931833381102514</v>
      </c>
      <c r="D55" s="7">
        <f>E55*4.1868</f>
        <v>54.433</v>
      </c>
      <c r="E55" s="24">
        <f>54.433/4.1868</f>
        <v>13.001098691124486</v>
      </c>
      <c r="F55" s="7">
        <f t="shared" si="0"/>
        <v>0.06926531002197223</v>
      </c>
      <c r="G55" s="8"/>
    </row>
    <row r="56" spans="1:7" s="1" customFormat="1" ht="15.75">
      <c r="A56" s="9">
        <v>51</v>
      </c>
      <c r="B56" s="7">
        <v>0</v>
      </c>
      <c r="C56" s="24">
        <f>52.914/4.1868</f>
        <v>12.638291774147321</v>
      </c>
      <c r="D56" s="10">
        <v>0</v>
      </c>
      <c r="E56" s="24" t="s">
        <v>9</v>
      </c>
      <c r="F56" s="7"/>
      <c r="G56" s="8">
        <f>'[1]Макаренко 22'!J55</f>
        <v>0.5346774193548387</v>
      </c>
    </row>
    <row r="57" spans="1:7" ht="15.75">
      <c r="A57" s="3">
        <v>52</v>
      </c>
      <c r="B57" s="7">
        <f aca="true" t="shared" si="5" ref="B57:B62">C57*4.1868</f>
        <v>0</v>
      </c>
      <c r="C57" s="24">
        <v>0</v>
      </c>
      <c r="D57" s="7">
        <f>E57*4.1868</f>
        <v>0.02009664</v>
      </c>
      <c r="E57" s="24">
        <v>0.0048</v>
      </c>
      <c r="F57" s="7">
        <f t="shared" si="0"/>
        <v>0.0048</v>
      </c>
      <c r="G57" s="8"/>
    </row>
    <row r="58" spans="1:7" ht="15.75">
      <c r="A58" s="3">
        <v>53</v>
      </c>
      <c r="B58" s="7">
        <f t="shared" si="5"/>
        <v>88.754</v>
      </c>
      <c r="C58" s="24">
        <f>88.754/4.1868</f>
        <v>21.198528709276776</v>
      </c>
      <c r="D58" s="7">
        <f>E58*4.1868</f>
        <v>88.754</v>
      </c>
      <c r="E58" s="24">
        <f>88.754/4.1868</f>
        <v>21.198528709276776</v>
      </c>
      <c r="F58" s="7">
        <f t="shared" si="0"/>
        <v>0</v>
      </c>
      <c r="G58" s="8"/>
    </row>
    <row r="59" spans="1:7" ht="15.75">
      <c r="A59" s="3">
        <v>54</v>
      </c>
      <c r="B59" s="7">
        <f t="shared" si="5"/>
        <v>104.63400000000001</v>
      </c>
      <c r="C59" s="23">
        <f>104.634/4.1868</f>
        <v>24.991401547721413</v>
      </c>
      <c r="D59" s="7">
        <v>0</v>
      </c>
      <c r="E59" s="23" t="s">
        <v>9</v>
      </c>
      <c r="F59" s="7"/>
      <c r="G59" s="8">
        <f>'[1]Макаренко 22'!J58</f>
        <v>0.49272580645161285</v>
      </c>
    </row>
    <row r="60" spans="1:7" ht="15.75">
      <c r="A60" s="3">
        <v>55</v>
      </c>
      <c r="B60" s="7">
        <f t="shared" si="5"/>
        <v>33.191</v>
      </c>
      <c r="C60" s="23">
        <f>33.191/4.1868</f>
        <v>7.927534154963219</v>
      </c>
      <c r="D60" s="7">
        <v>0</v>
      </c>
      <c r="E60" s="23" t="s">
        <v>9</v>
      </c>
      <c r="F60" s="7"/>
      <c r="G60" s="8">
        <f>'[1]Макаренко 22'!J59</f>
        <v>0.3109354838709677</v>
      </c>
    </row>
    <row r="61" spans="1:7" ht="15.75">
      <c r="A61" s="3">
        <v>56</v>
      </c>
      <c r="B61" s="7">
        <f t="shared" si="5"/>
        <v>52.5</v>
      </c>
      <c r="C61" s="24">
        <f>52.5/4.1868</f>
        <v>12.539409572943537</v>
      </c>
      <c r="D61" s="7">
        <f>E61*4.1868</f>
        <v>53.093</v>
      </c>
      <c r="E61" s="24">
        <f>53.093/4.1868</f>
        <v>12.681045189643644</v>
      </c>
      <c r="F61" s="7">
        <f t="shared" si="0"/>
        <v>0.14163561670010694</v>
      </c>
      <c r="G61" s="8"/>
    </row>
    <row r="62" spans="1:7" ht="15.75">
      <c r="A62" s="3">
        <v>57</v>
      </c>
      <c r="B62" s="7">
        <f t="shared" si="5"/>
        <v>16.4583108</v>
      </c>
      <c r="C62" s="24">
        <v>3.931</v>
      </c>
      <c r="D62" s="7">
        <f>E62*4.1868</f>
        <v>17.2579896</v>
      </c>
      <c r="E62" s="24">
        <v>4.122</v>
      </c>
      <c r="F62" s="7">
        <f t="shared" si="0"/>
        <v>0.19099999999999984</v>
      </c>
      <c r="G62" s="8"/>
    </row>
    <row r="63" spans="1:7" ht="15.75">
      <c r="A63" s="3">
        <v>58</v>
      </c>
      <c r="B63" s="7">
        <f aca="true" t="shared" si="6" ref="B63:B69">C63*4.1868</f>
        <v>0</v>
      </c>
      <c r="C63" s="23">
        <v>0</v>
      </c>
      <c r="D63" s="7">
        <f aca="true" t="shared" si="7" ref="D63:D69">E63*4.1868</f>
        <v>0.3935592</v>
      </c>
      <c r="E63" s="23">
        <v>0.094</v>
      </c>
      <c r="F63" s="7">
        <f t="shared" si="0"/>
        <v>0.094</v>
      </c>
      <c r="G63" s="8"/>
    </row>
    <row r="64" spans="1:7" ht="15.75">
      <c r="A64" s="3">
        <v>59</v>
      </c>
      <c r="B64" s="7">
        <f t="shared" si="6"/>
        <v>1.861</v>
      </c>
      <c r="C64" s="23">
        <f>1.861/4.1868</f>
        <v>0.44449221362376995</v>
      </c>
      <c r="D64" s="7">
        <f t="shared" si="7"/>
        <v>1.866</v>
      </c>
      <c r="E64" s="23">
        <f>1.866/4.1868</f>
        <v>0.44568644310690747</v>
      </c>
      <c r="F64" s="7">
        <f t="shared" si="0"/>
        <v>0.001194229483137521</v>
      </c>
      <c r="G64" s="8"/>
    </row>
    <row r="65" spans="1:7" ht="15.75">
      <c r="A65" s="3">
        <v>60</v>
      </c>
      <c r="B65" s="7">
        <f t="shared" si="6"/>
        <v>40.576</v>
      </c>
      <c r="C65" s="23">
        <f>40.576/4.1868</f>
        <v>9.691411101557275</v>
      </c>
      <c r="D65" s="7">
        <v>0</v>
      </c>
      <c r="E65" s="23" t="s">
        <v>9</v>
      </c>
      <c r="F65" s="7"/>
      <c r="G65" s="8">
        <f>'[1]Макаренко 22'!J64</f>
        <v>0.5338548387096774</v>
      </c>
    </row>
    <row r="66" spans="1:7" ht="15.75">
      <c r="A66" s="3">
        <v>61</v>
      </c>
      <c r="B66" s="7">
        <f t="shared" si="6"/>
        <v>0</v>
      </c>
      <c r="C66" s="23">
        <v>0</v>
      </c>
      <c r="D66" s="7">
        <f t="shared" si="7"/>
        <v>0.050660279999999995</v>
      </c>
      <c r="E66" s="23">
        <v>0.0121</v>
      </c>
      <c r="F66" s="7">
        <f t="shared" si="0"/>
        <v>0.0121</v>
      </c>
      <c r="G66" s="8"/>
    </row>
    <row r="67" spans="1:7" ht="15.75">
      <c r="A67" s="3">
        <v>62</v>
      </c>
      <c r="B67" s="7">
        <f t="shared" si="6"/>
        <v>79.143</v>
      </c>
      <c r="C67" s="24">
        <f>79.143/4.1868</f>
        <v>18.90298079678991</v>
      </c>
      <c r="D67" s="7">
        <v>0</v>
      </c>
      <c r="E67" s="24" t="s">
        <v>9</v>
      </c>
      <c r="F67" s="7"/>
      <c r="G67" s="8">
        <f>'[1]Макаренко 22'!J66</f>
        <v>0.6843870967741935</v>
      </c>
    </row>
    <row r="68" spans="1:7" ht="15.75">
      <c r="A68" s="3">
        <v>63</v>
      </c>
      <c r="B68" s="7">
        <f t="shared" si="6"/>
        <v>8.59005756</v>
      </c>
      <c r="C68" s="24">
        <v>2.0517</v>
      </c>
      <c r="D68" s="7">
        <f t="shared" si="7"/>
        <v>9.32902776</v>
      </c>
      <c r="E68" s="24">
        <v>2.2282</v>
      </c>
      <c r="F68" s="7">
        <f t="shared" si="0"/>
        <v>0.17650000000000032</v>
      </c>
      <c r="G68" s="8"/>
    </row>
    <row r="69" spans="1:7" ht="15.75">
      <c r="A69" s="3">
        <v>64</v>
      </c>
      <c r="B69" s="7">
        <f t="shared" si="6"/>
        <v>44.707</v>
      </c>
      <c r="C69" s="24">
        <f>44.707/4.1868</f>
        <v>10.678083500525462</v>
      </c>
      <c r="D69" s="7">
        <f t="shared" si="7"/>
        <v>45.327</v>
      </c>
      <c r="E69" s="24">
        <f>45.327/4.1868</f>
        <v>10.826167956434508</v>
      </c>
      <c r="F69" s="7">
        <f t="shared" si="0"/>
        <v>0.1480844559090464</v>
      </c>
      <c r="G69" s="8"/>
    </row>
    <row r="70" spans="1:7" ht="15.75">
      <c r="A70" s="3">
        <v>65</v>
      </c>
      <c r="B70" s="7">
        <f aca="true" t="shared" si="8" ref="B70:B89">C70*4.1868</f>
        <v>0</v>
      </c>
      <c r="C70" s="24">
        <v>0</v>
      </c>
      <c r="D70" s="7">
        <f>E70*4.1868</f>
        <v>0.1025766</v>
      </c>
      <c r="E70" s="24">
        <v>0.0245</v>
      </c>
      <c r="F70" s="7">
        <f t="shared" si="0"/>
        <v>0.0245</v>
      </c>
      <c r="G70" s="8"/>
    </row>
    <row r="71" spans="1:7" ht="15.75">
      <c r="A71" s="3">
        <v>66</v>
      </c>
      <c r="B71" s="7">
        <f t="shared" si="8"/>
        <v>38.922</v>
      </c>
      <c r="C71" s="24">
        <f>38.922/4.1868</f>
        <v>9.296359988535396</v>
      </c>
      <c r="D71" s="7">
        <f>E71*4.1868</f>
        <v>38.922</v>
      </c>
      <c r="E71" s="24">
        <f>38.922/4.1868</f>
        <v>9.296359988535396</v>
      </c>
      <c r="F71" s="7">
        <f aca="true" t="shared" si="9" ref="F71:F134">E71-C71</f>
        <v>0</v>
      </c>
      <c r="G71" s="8"/>
    </row>
    <row r="72" spans="1:7" ht="15.75">
      <c r="A72" s="3">
        <v>67</v>
      </c>
      <c r="B72" s="7">
        <f t="shared" si="8"/>
        <v>13.662</v>
      </c>
      <c r="C72" s="24">
        <f>13.662/4.1868</f>
        <v>3.26311263972485</v>
      </c>
      <c r="D72" s="7">
        <f>E72*4.1868</f>
        <v>13.662</v>
      </c>
      <c r="E72" s="24">
        <f>13.662/4.1868</f>
        <v>3.26311263972485</v>
      </c>
      <c r="F72" s="7">
        <f t="shared" si="9"/>
        <v>0</v>
      </c>
      <c r="G72" s="8"/>
    </row>
    <row r="73" spans="1:7" ht="15.75">
      <c r="A73" s="3">
        <v>68</v>
      </c>
      <c r="B73" s="7">
        <f t="shared" si="8"/>
        <v>58.744</v>
      </c>
      <c r="C73" s="23">
        <f>58.744/4.1868</f>
        <v>14.030763351485621</v>
      </c>
      <c r="D73" s="7">
        <f>E73*4.1868</f>
        <v>59.353</v>
      </c>
      <c r="E73" s="23">
        <f>59.353/4.1868</f>
        <v>14.176220502531768</v>
      </c>
      <c r="F73" s="7">
        <f t="shared" si="9"/>
        <v>0.14545715104614665</v>
      </c>
      <c r="G73" s="8"/>
    </row>
    <row r="74" spans="1:7" ht="15.75">
      <c r="A74" s="3">
        <v>69</v>
      </c>
      <c r="B74" s="7">
        <f t="shared" si="8"/>
        <v>0</v>
      </c>
      <c r="C74" s="24">
        <v>0</v>
      </c>
      <c r="D74" s="7">
        <f aca="true" t="shared" si="10" ref="D74:D83">E74*4.1868</f>
        <v>0.00167472</v>
      </c>
      <c r="E74" s="24">
        <v>0.0004</v>
      </c>
      <c r="F74" s="7">
        <f t="shared" si="9"/>
        <v>0.0004</v>
      </c>
      <c r="G74" s="8"/>
    </row>
    <row r="75" spans="1:7" ht="15.75">
      <c r="A75" s="3">
        <v>70</v>
      </c>
      <c r="B75" s="7">
        <f t="shared" si="8"/>
        <v>25.776</v>
      </c>
      <c r="C75" s="24">
        <f>25.776/4.1868</f>
        <v>6.156491831470335</v>
      </c>
      <c r="D75" s="7">
        <f t="shared" si="10"/>
        <v>25.848</v>
      </c>
      <c r="E75" s="24">
        <f>25.848/4.1868</f>
        <v>6.173688736027515</v>
      </c>
      <c r="F75" s="7">
        <f t="shared" si="9"/>
        <v>0.017196904557179593</v>
      </c>
      <c r="G75" s="8"/>
    </row>
    <row r="76" spans="1:7" ht="15.75">
      <c r="A76" s="3">
        <v>71</v>
      </c>
      <c r="B76" s="7">
        <f t="shared" si="8"/>
        <v>106.656</v>
      </c>
      <c r="C76" s="23">
        <f>106.656/4.1868</f>
        <v>25.47434795070221</v>
      </c>
      <c r="D76" s="7">
        <f t="shared" si="10"/>
        <v>107.46</v>
      </c>
      <c r="E76" s="23">
        <f>107.46/4.1868</f>
        <v>25.666380051590714</v>
      </c>
      <c r="F76" s="7">
        <f t="shared" si="9"/>
        <v>0.19203210088850398</v>
      </c>
      <c r="G76" s="8"/>
    </row>
    <row r="77" spans="1:7" ht="15.75">
      <c r="A77" s="3">
        <v>72</v>
      </c>
      <c r="B77" s="7">
        <f t="shared" si="8"/>
        <v>59.88</v>
      </c>
      <c r="C77" s="24">
        <f>59.88/4.1868</f>
        <v>14.302092290054459</v>
      </c>
      <c r="D77" s="7">
        <f t="shared" si="10"/>
        <v>60.488</v>
      </c>
      <c r="E77" s="24">
        <f>60.488/4.1868</f>
        <v>14.447310595203975</v>
      </c>
      <c r="F77" s="7">
        <f t="shared" si="9"/>
        <v>0.14521830514951617</v>
      </c>
      <c r="G77" s="8"/>
    </row>
    <row r="78" spans="1:7" ht="15.75">
      <c r="A78" s="3">
        <v>73</v>
      </c>
      <c r="B78" s="7">
        <f t="shared" si="8"/>
        <v>0</v>
      </c>
      <c r="C78" s="24">
        <v>0</v>
      </c>
      <c r="D78" s="7">
        <f t="shared" si="10"/>
        <v>0</v>
      </c>
      <c r="E78" s="24">
        <v>0</v>
      </c>
      <c r="F78" s="7">
        <f t="shared" si="9"/>
        <v>0</v>
      </c>
      <c r="G78" s="8"/>
    </row>
    <row r="79" spans="1:7" ht="15.75">
      <c r="A79" s="3">
        <v>74</v>
      </c>
      <c r="B79" s="7">
        <f t="shared" si="8"/>
        <v>0</v>
      </c>
      <c r="C79" s="25">
        <v>0</v>
      </c>
      <c r="D79" s="7">
        <f t="shared" si="10"/>
        <v>0</v>
      </c>
      <c r="E79" s="25">
        <v>0</v>
      </c>
      <c r="F79" s="7">
        <f t="shared" si="9"/>
        <v>0</v>
      </c>
      <c r="G79" s="8"/>
    </row>
    <row r="80" spans="1:7" ht="15.75">
      <c r="A80" s="3">
        <v>75</v>
      </c>
      <c r="B80" s="7">
        <f t="shared" si="8"/>
        <v>0</v>
      </c>
      <c r="C80" s="23">
        <v>0</v>
      </c>
      <c r="D80" s="7">
        <f t="shared" si="10"/>
        <v>0.16370388</v>
      </c>
      <c r="E80" s="23">
        <v>0.0391</v>
      </c>
      <c r="F80" s="7">
        <f t="shared" si="9"/>
        <v>0.0391</v>
      </c>
      <c r="G80" s="8"/>
    </row>
    <row r="81" spans="1:7" ht="15.75">
      <c r="A81" s="3">
        <v>76</v>
      </c>
      <c r="B81" s="7">
        <f t="shared" si="8"/>
        <v>7.8209424</v>
      </c>
      <c r="C81" s="23">
        <v>1.868</v>
      </c>
      <c r="D81" s="7">
        <f t="shared" si="10"/>
        <v>8.1768204</v>
      </c>
      <c r="E81" s="23">
        <v>1.953</v>
      </c>
      <c r="F81" s="31">
        <v>0.08499999999999996</v>
      </c>
      <c r="G81" s="8"/>
    </row>
    <row r="82" spans="1:7" ht="15.75">
      <c r="A82" s="3">
        <v>77</v>
      </c>
      <c r="B82" s="7">
        <v>0</v>
      </c>
      <c r="C82" s="25" t="s">
        <v>10</v>
      </c>
      <c r="D82" s="7">
        <v>0</v>
      </c>
      <c r="E82" s="25" t="s">
        <v>10</v>
      </c>
      <c r="F82" s="7"/>
      <c r="G82" s="8">
        <f>'[1]Макаренко 22'!J81</f>
        <v>0.3265645161290323</v>
      </c>
    </row>
    <row r="83" spans="1:7" ht="15.75">
      <c r="A83" s="3">
        <v>78</v>
      </c>
      <c r="B83" s="7">
        <f t="shared" si="8"/>
        <v>31.334</v>
      </c>
      <c r="C83" s="23">
        <f>31.334/4.1868</f>
        <v>7.483997324925958</v>
      </c>
      <c r="D83" s="7">
        <f t="shared" si="10"/>
        <v>31.339</v>
      </c>
      <c r="E83" s="23">
        <f>31.339/4.1868</f>
        <v>7.485191554409095</v>
      </c>
      <c r="F83" s="7">
        <f t="shared" si="9"/>
        <v>0.001194229483137299</v>
      </c>
      <c r="G83" s="8"/>
    </row>
    <row r="84" spans="1:7" ht="15.75">
      <c r="A84" s="3">
        <v>79</v>
      </c>
      <c r="B84" s="7">
        <f t="shared" si="8"/>
        <v>37.22</v>
      </c>
      <c r="C84" s="24">
        <f>37.22/4.1868</f>
        <v>8.889844272475399</v>
      </c>
      <c r="D84" s="7">
        <v>0</v>
      </c>
      <c r="E84" s="24" t="s">
        <v>9</v>
      </c>
      <c r="F84" s="7"/>
      <c r="G84" s="8">
        <f>'[1]Макаренко 22'!J83</f>
        <v>0.29859677419354835</v>
      </c>
    </row>
    <row r="85" spans="1:7" ht="15.75">
      <c r="A85" s="3">
        <v>80</v>
      </c>
      <c r="B85" s="7">
        <f t="shared" si="8"/>
        <v>7.008703199999999</v>
      </c>
      <c r="C85" s="23">
        <v>1.674</v>
      </c>
      <c r="D85" s="7">
        <f aca="true" t="shared" si="11" ref="D85:D90">E85*4.1868</f>
        <v>8.892763200000001</v>
      </c>
      <c r="E85" s="23">
        <v>2.124</v>
      </c>
      <c r="F85" s="7">
        <f t="shared" si="9"/>
        <v>0.4500000000000002</v>
      </c>
      <c r="G85" s="8"/>
    </row>
    <row r="86" spans="1:7" ht="15.75">
      <c r="A86" s="3">
        <v>81</v>
      </c>
      <c r="B86" s="7">
        <f t="shared" si="8"/>
        <v>0</v>
      </c>
      <c r="C86" s="24">
        <v>0</v>
      </c>
      <c r="D86" s="7">
        <f t="shared" si="11"/>
        <v>0.53549172</v>
      </c>
      <c r="E86" s="24">
        <v>0.1279</v>
      </c>
      <c r="F86" s="7">
        <f t="shared" si="9"/>
        <v>0.1279</v>
      </c>
      <c r="G86" s="8"/>
    </row>
    <row r="87" spans="1:7" ht="15.75">
      <c r="A87" s="3">
        <v>82</v>
      </c>
      <c r="B87" s="7">
        <f t="shared" si="8"/>
        <v>27.41977188</v>
      </c>
      <c r="C87" s="24">
        <v>6.5491</v>
      </c>
      <c r="D87" s="7">
        <f t="shared" si="11"/>
        <v>27.422283959999998</v>
      </c>
      <c r="E87" s="24">
        <v>6.5497</v>
      </c>
      <c r="F87" s="7">
        <f t="shared" si="9"/>
        <v>0.0005999999999994898</v>
      </c>
      <c r="G87" s="8"/>
    </row>
    <row r="88" spans="1:7" ht="15.75">
      <c r="A88" s="3">
        <v>83</v>
      </c>
      <c r="B88" s="7">
        <f t="shared" si="8"/>
        <v>0</v>
      </c>
      <c r="C88" s="24">
        <v>0</v>
      </c>
      <c r="D88" s="7">
        <f t="shared" si="11"/>
        <v>0.37136916</v>
      </c>
      <c r="E88" s="24">
        <v>0.0887</v>
      </c>
      <c r="F88" s="7">
        <f t="shared" si="9"/>
        <v>0.0887</v>
      </c>
      <c r="G88" s="8"/>
    </row>
    <row r="89" spans="1:7" ht="15.75">
      <c r="A89" s="3">
        <v>84</v>
      </c>
      <c r="B89" s="7">
        <f t="shared" si="8"/>
        <v>3.9816467999999996</v>
      </c>
      <c r="C89" s="24">
        <v>0.951</v>
      </c>
      <c r="D89" s="7">
        <f t="shared" si="11"/>
        <v>4.207733999999999</v>
      </c>
      <c r="E89" s="24">
        <v>1.005</v>
      </c>
      <c r="F89" s="7">
        <f t="shared" si="9"/>
        <v>0.05399999999999994</v>
      </c>
      <c r="G89" s="8"/>
    </row>
    <row r="90" spans="1:7" ht="15.75">
      <c r="A90" s="3">
        <v>85</v>
      </c>
      <c r="B90" s="7">
        <f aca="true" t="shared" si="12" ref="B90:B102">C90*4.1868</f>
        <v>0</v>
      </c>
      <c r="C90" s="24">
        <v>0</v>
      </c>
      <c r="D90" s="7">
        <f t="shared" si="11"/>
        <v>0</v>
      </c>
      <c r="E90" s="24">
        <v>0</v>
      </c>
      <c r="F90" s="7">
        <f t="shared" si="9"/>
        <v>0</v>
      </c>
      <c r="G90" s="8"/>
    </row>
    <row r="91" spans="1:7" ht="15.75">
      <c r="A91" s="3">
        <v>86</v>
      </c>
      <c r="B91" s="7">
        <f t="shared" si="12"/>
        <v>0</v>
      </c>
      <c r="C91" s="23">
        <v>0</v>
      </c>
      <c r="D91" s="7">
        <v>0</v>
      </c>
      <c r="E91" s="23">
        <v>0</v>
      </c>
      <c r="F91" s="7">
        <f t="shared" si="9"/>
        <v>0</v>
      </c>
      <c r="G91" s="8"/>
    </row>
    <row r="92" spans="1:7" ht="15.75">
      <c r="A92" s="3">
        <v>87</v>
      </c>
      <c r="B92" s="7">
        <f t="shared" si="12"/>
        <v>9.219333599999999</v>
      </c>
      <c r="C92" s="24">
        <v>2.202</v>
      </c>
      <c r="D92" s="7">
        <f aca="true" t="shared" si="13" ref="D92:D102">E92*4.1868</f>
        <v>9.529156799999999</v>
      </c>
      <c r="E92" s="24">
        <v>2.276</v>
      </c>
      <c r="F92" s="7">
        <f t="shared" si="9"/>
        <v>0.07399999999999984</v>
      </c>
      <c r="G92" s="8"/>
    </row>
    <row r="93" spans="1:7" ht="15.75">
      <c r="A93" s="3">
        <v>88</v>
      </c>
      <c r="B93" s="7">
        <f t="shared" si="12"/>
        <v>0</v>
      </c>
      <c r="C93" s="24">
        <v>0</v>
      </c>
      <c r="D93" s="7">
        <f t="shared" si="13"/>
        <v>0</v>
      </c>
      <c r="E93" s="24">
        <v>0</v>
      </c>
      <c r="F93" s="7">
        <f t="shared" si="9"/>
        <v>0</v>
      </c>
      <c r="G93" s="8"/>
    </row>
    <row r="94" spans="1:7" ht="15.75">
      <c r="A94" s="3">
        <v>89</v>
      </c>
      <c r="B94" s="7">
        <f t="shared" si="12"/>
        <v>26.737742159999996</v>
      </c>
      <c r="C94" s="24">
        <v>6.3862</v>
      </c>
      <c r="D94" s="7">
        <f t="shared" si="13"/>
        <v>27.693588599999998</v>
      </c>
      <c r="E94" s="24">
        <v>6.6145</v>
      </c>
      <c r="F94" s="7">
        <f t="shared" si="9"/>
        <v>0.22829999999999995</v>
      </c>
      <c r="G94" s="8"/>
    </row>
    <row r="95" spans="1:7" ht="15.75">
      <c r="A95" s="3">
        <v>90</v>
      </c>
      <c r="B95" s="7">
        <f t="shared" si="12"/>
        <v>74.59998372</v>
      </c>
      <c r="C95" s="24">
        <v>17.8179</v>
      </c>
      <c r="D95" s="7">
        <f t="shared" si="13"/>
        <v>75.99502548</v>
      </c>
      <c r="E95" s="24">
        <v>18.1511</v>
      </c>
      <c r="F95" s="7">
        <f t="shared" si="9"/>
        <v>0.33319999999999794</v>
      </c>
      <c r="G95" s="8"/>
    </row>
    <row r="96" spans="1:7" ht="15.75">
      <c r="A96" s="3">
        <v>91</v>
      </c>
      <c r="B96" s="7">
        <f t="shared" si="12"/>
        <v>0</v>
      </c>
      <c r="C96" s="23">
        <v>0</v>
      </c>
      <c r="D96" s="7">
        <f t="shared" si="13"/>
        <v>0.5363290799999999</v>
      </c>
      <c r="E96" s="23">
        <v>0.1281</v>
      </c>
      <c r="F96" s="7">
        <f t="shared" si="9"/>
        <v>0.1281</v>
      </c>
      <c r="G96" s="8"/>
    </row>
    <row r="97" spans="1:7" ht="15.75">
      <c r="A97" s="3">
        <v>92</v>
      </c>
      <c r="B97" s="7">
        <f t="shared" si="12"/>
        <v>18.8406</v>
      </c>
      <c r="C97" s="24">
        <v>4.5</v>
      </c>
      <c r="D97" s="7">
        <f t="shared" si="13"/>
        <v>18.8406</v>
      </c>
      <c r="E97" s="24">
        <v>4.5</v>
      </c>
      <c r="F97" s="7">
        <f t="shared" si="9"/>
        <v>0</v>
      </c>
      <c r="G97" s="8"/>
    </row>
    <row r="98" spans="1:7" ht="15.75">
      <c r="A98" s="3">
        <v>93</v>
      </c>
      <c r="B98" s="7">
        <f t="shared" si="12"/>
        <v>2.2596159599999996</v>
      </c>
      <c r="C98" s="24">
        <v>0.5397</v>
      </c>
      <c r="D98" s="7">
        <f t="shared" si="13"/>
        <v>2.28976092</v>
      </c>
      <c r="E98" s="24">
        <v>0.5469</v>
      </c>
      <c r="F98" s="7">
        <f t="shared" si="9"/>
        <v>0.007200000000000095</v>
      </c>
      <c r="G98" s="8"/>
    </row>
    <row r="99" spans="1:7" ht="15.75">
      <c r="A99" s="3">
        <v>94</v>
      </c>
      <c r="B99" s="7">
        <f t="shared" si="12"/>
        <v>2.2064436</v>
      </c>
      <c r="C99" s="23">
        <v>0.527</v>
      </c>
      <c r="D99" s="7">
        <f t="shared" si="13"/>
        <v>2.2064436</v>
      </c>
      <c r="E99" s="23">
        <v>0.527</v>
      </c>
      <c r="F99" s="7">
        <f t="shared" si="9"/>
        <v>0</v>
      </c>
      <c r="G99" s="8"/>
    </row>
    <row r="100" spans="1:7" ht="15.75">
      <c r="A100" s="3">
        <v>95</v>
      </c>
      <c r="B100" s="7">
        <f t="shared" si="12"/>
        <v>0.024</v>
      </c>
      <c r="C100" s="24">
        <v>0.005732301519059903</v>
      </c>
      <c r="D100" s="7">
        <f t="shared" si="13"/>
        <v>0.024</v>
      </c>
      <c r="E100" s="24">
        <v>0.005732301519059903</v>
      </c>
      <c r="F100" s="7">
        <f t="shared" si="9"/>
        <v>0</v>
      </c>
      <c r="G100" s="8"/>
    </row>
    <row r="101" spans="1:7" ht="15.75">
      <c r="A101" s="3">
        <v>96</v>
      </c>
      <c r="B101" s="7">
        <f t="shared" si="12"/>
        <v>0</v>
      </c>
      <c r="C101" s="24">
        <v>0</v>
      </c>
      <c r="D101" s="7">
        <f t="shared" si="13"/>
        <v>0.04103064</v>
      </c>
      <c r="E101" s="24">
        <v>0.0098</v>
      </c>
      <c r="F101" s="7">
        <f t="shared" si="9"/>
        <v>0.0098</v>
      </c>
      <c r="G101" s="8"/>
    </row>
    <row r="102" spans="1:7" ht="15.75">
      <c r="A102" s="3">
        <v>97</v>
      </c>
      <c r="B102" s="7">
        <f t="shared" si="12"/>
        <v>31.671</v>
      </c>
      <c r="C102" s="23">
        <f>31.671/4.1868</f>
        <v>7.564488392089424</v>
      </c>
      <c r="D102" s="7">
        <f t="shared" si="13"/>
        <v>32.307</v>
      </c>
      <c r="E102" s="23">
        <f>32.307/4.1868</f>
        <v>7.716394382344512</v>
      </c>
      <c r="F102" s="7">
        <f t="shared" si="9"/>
        <v>0.15190599025508789</v>
      </c>
      <c r="G102" s="8"/>
    </row>
    <row r="103" spans="1:7" ht="15.75">
      <c r="A103" s="3">
        <v>98</v>
      </c>
      <c r="B103" s="7">
        <f aca="true" t="shared" si="14" ref="B103:B108">C103*4.1868</f>
        <v>0</v>
      </c>
      <c r="C103" s="23">
        <v>0</v>
      </c>
      <c r="D103" s="7">
        <f aca="true" t="shared" si="15" ref="D103:D108">E103*4.1868</f>
        <v>0</v>
      </c>
      <c r="E103" s="23">
        <v>0</v>
      </c>
      <c r="F103" s="7">
        <f t="shared" si="9"/>
        <v>0</v>
      </c>
      <c r="G103" s="8"/>
    </row>
    <row r="104" spans="1:7" ht="15.75">
      <c r="A104" s="3">
        <v>99</v>
      </c>
      <c r="B104" s="7">
        <f t="shared" si="14"/>
        <v>10.420945199999998</v>
      </c>
      <c r="C104" s="24">
        <v>2.489</v>
      </c>
      <c r="D104" s="7">
        <f t="shared" si="15"/>
        <v>11.3085468</v>
      </c>
      <c r="E104" s="24">
        <v>2.701</v>
      </c>
      <c r="F104" s="7">
        <f t="shared" si="9"/>
        <v>0.2120000000000002</v>
      </c>
      <c r="G104" s="8"/>
    </row>
    <row r="105" spans="1:7" ht="15.75">
      <c r="A105" s="3">
        <v>100</v>
      </c>
      <c r="B105" s="7">
        <f t="shared" si="14"/>
        <v>31.484</v>
      </c>
      <c r="C105" s="24">
        <f>31.484/4.1868</f>
        <v>7.519824209420083</v>
      </c>
      <c r="D105" s="7">
        <f t="shared" si="15"/>
        <v>31.628</v>
      </c>
      <c r="E105" s="24">
        <f>31.628/4.1868</f>
        <v>7.554218018534442</v>
      </c>
      <c r="F105" s="7">
        <f t="shared" si="9"/>
        <v>0.034393809114359186</v>
      </c>
      <c r="G105" s="8"/>
    </row>
    <row r="106" spans="1:7" ht="15.75">
      <c r="A106" s="3">
        <v>101</v>
      </c>
      <c r="B106" s="7">
        <f t="shared" si="14"/>
        <v>40.088</v>
      </c>
      <c r="C106" s="24">
        <f>40.088/4.1868</f>
        <v>9.574854304003058</v>
      </c>
      <c r="D106" s="7">
        <f t="shared" si="15"/>
        <v>40.657</v>
      </c>
      <c r="E106" s="24">
        <f>40.657/4.1868</f>
        <v>9.710757619184102</v>
      </c>
      <c r="F106" s="7">
        <f t="shared" si="9"/>
        <v>0.1359033151810447</v>
      </c>
      <c r="G106" s="8"/>
    </row>
    <row r="107" spans="1:7" ht="15.75">
      <c r="A107" s="3">
        <v>102</v>
      </c>
      <c r="B107" s="7">
        <f t="shared" si="14"/>
        <v>0</v>
      </c>
      <c r="C107" s="25">
        <v>0</v>
      </c>
      <c r="D107" s="7">
        <f t="shared" si="15"/>
        <v>0.15365556</v>
      </c>
      <c r="E107" s="25">
        <v>0.0367</v>
      </c>
      <c r="F107" s="7">
        <f t="shared" si="9"/>
        <v>0.0367</v>
      </c>
      <c r="G107" s="8"/>
    </row>
    <row r="108" spans="1:7" ht="15.75">
      <c r="A108" s="3">
        <v>103</v>
      </c>
      <c r="B108" s="7">
        <f t="shared" si="14"/>
        <v>10.411</v>
      </c>
      <c r="C108" s="23">
        <f>10.411/4.1868</f>
        <v>2.48662462978886</v>
      </c>
      <c r="D108" s="7">
        <f t="shared" si="15"/>
        <v>10.411</v>
      </c>
      <c r="E108" s="23">
        <f>10.411/4.1868</f>
        <v>2.48662462978886</v>
      </c>
      <c r="F108" s="7">
        <f t="shared" si="9"/>
        <v>0</v>
      </c>
      <c r="G108" s="8"/>
    </row>
    <row r="109" spans="1:7" ht="15.75">
      <c r="A109" s="3">
        <v>104</v>
      </c>
      <c r="B109" s="7">
        <v>0</v>
      </c>
      <c r="C109" s="23">
        <f>39.245/4.1868</f>
        <v>9.373507213146079</v>
      </c>
      <c r="D109" s="7">
        <v>0</v>
      </c>
      <c r="E109" s="23">
        <f>39.384/4.1868</f>
        <v>9.406706792777301</v>
      </c>
      <c r="F109" s="7">
        <f t="shared" si="9"/>
        <v>0.033199579631222775</v>
      </c>
      <c r="G109" s="8"/>
    </row>
    <row r="110" spans="1:7" ht="15.75">
      <c r="A110" s="3">
        <v>105</v>
      </c>
      <c r="B110" s="7">
        <f>C110*4.1868</f>
        <v>0</v>
      </c>
      <c r="C110" s="23">
        <v>0</v>
      </c>
      <c r="D110" s="7">
        <f>E110*4.1868</f>
        <v>0.06238332</v>
      </c>
      <c r="E110" s="23">
        <v>0.0149</v>
      </c>
      <c r="F110" s="7">
        <f t="shared" si="9"/>
        <v>0.0149</v>
      </c>
      <c r="G110" s="8"/>
    </row>
    <row r="111" spans="1:7" ht="15.75">
      <c r="A111" s="3">
        <v>106</v>
      </c>
      <c r="B111" s="7">
        <f>C111*4.1868</f>
        <v>0</v>
      </c>
      <c r="C111" s="23">
        <v>0</v>
      </c>
      <c r="D111" s="7">
        <f>E111*4.1868</f>
        <v>0.5514015600000001</v>
      </c>
      <c r="E111" s="23">
        <v>0.1317</v>
      </c>
      <c r="F111" s="7">
        <f t="shared" si="9"/>
        <v>0.1317</v>
      </c>
      <c r="G111" s="8"/>
    </row>
    <row r="112" spans="1:7" ht="15.75">
      <c r="A112" s="3">
        <v>107</v>
      </c>
      <c r="B112" s="7">
        <v>0</v>
      </c>
      <c r="C112" s="23">
        <f>112.994/4.1868</f>
        <v>26.98815324352728</v>
      </c>
      <c r="D112" s="7">
        <v>0</v>
      </c>
      <c r="E112" s="23">
        <f>113.049/4.1868</f>
        <v>27.00128976784179</v>
      </c>
      <c r="F112" s="7">
        <f t="shared" si="9"/>
        <v>0.013136524314511178</v>
      </c>
      <c r="G112" s="8"/>
    </row>
    <row r="113" spans="1:7" ht="15.75">
      <c r="A113" s="3">
        <v>108</v>
      </c>
      <c r="B113" s="7">
        <f aca="true" t="shared" si="16" ref="B113:B121">C113*4.1868</f>
        <v>4.7771387999999995</v>
      </c>
      <c r="C113" s="23">
        <v>1.141</v>
      </c>
      <c r="D113" s="7">
        <f aca="true" t="shared" si="17" ref="D113:D120">E113*4.1868</f>
        <v>5.0157864</v>
      </c>
      <c r="E113" s="23">
        <v>1.198</v>
      </c>
      <c r="F113" s="7">
        <f t="shared" si="9"/>
        <v>0.05699999999999994</v>
      </c>
      <c r="G113" s="8"/>
    </row>
    <row r="114" spans="1:7" ht="15.75">
      <c r="A114" s="3">
        <v>109</v>
      </c>
      <c r="B114" s="7">
        <f t="shared" si="16"/>
        <v>18.103723199999997</v>
      </c>
      <c r="C114" s="23">
        <v>4.324</v>
      </c>
      <c r="D114" s="7">
        <f t="shared" si="17"/>
        <v>18.455414400000002</v>
      </c>
      <c r="E114" s="23">
        <v>4.408</v>
      </c>
      <c r="F114" s="7">
        <f t="shared" si="9"/>
        <v>0.08400000000000052</v>
      </c>
      <c r="G114" s="8"/>
    </row>
    <row r="115" spans="1:7" ht="15.75">
      <c r="A115" s="3">
        <v>110</v>
      </c>
      <c r="B115" s="7">
        <f t="shared" si="16"/>
        <v>0</v>
      </c>
      <c r="C115" s="24">
        <v>0</v>
      </c>
      <c r="D115" s="7">
        <f t="shared" si="17"/>
        <v>0</v>
      </c>
      <c r="E115" s="24">
        <v>0</v>
      </c>
      <c r="F115" s="7">
        <f t="shared" si="9"/>
        <v>0</v>
      </c>
      <c r="G115" s="8"/>
    </row>
    <row r="116" spans="1:7" ht="15.75">
      <c r="A116" s="3">
        <v>111</v>
      </c>
      <c r="B116" s="7">
        <f t="shared" si="16"/>
        <v>3.534</v>
      </c>
      <c r="C116" s="24">
        <v>0.8440813986815706</v>
      </c>
      <c r="D116" s="7">
        <f t="shared" si="17"/>
        <v>3.534</v>
      </c>
      <c r="E116" s="24">
        <f>3.534/4.1868</f>
        <v>0.8440813986815706</v>
      </c>
      <c r="F116" s="7">
        <f t="shared" si="9"/>
        <v>0</v>
      </c>
      <c r="G116" s="8"/>
    </row>
    <row r="117" spans="1:7" ht="15.75">
      <c r="A117" s="3">
        <v>112</v>
      </c>
      <c r="B117" s="7">
        <f t="shared" si="16"/>
        <v>4.6389744</v>
      </c>
      <c r="C117" s="24">
        <v>1.108</v>
      </c>
      <c r="D117" s="7">
        <f t="shared" si="17"/>
        <v>4.6389744</v>
      </c>
      <c r="E117" s="24">
        <v>1.108</v>
      </c>
      <c r="F117" s="7">
        <f t="shared" si="9"/>
        <v>0</v>
      </c>
      <c r="G117" s="8"/>
    </row>
    <row r="118" spans="1:7" ht="15.75">
      <c r="A118" s="3">
        <v>113</v>
      </c>
      <c r="B118" s="7">
        <f t="shared" si="16"/>
        <v>0.576</v>
      </c>
      <c r="C118" s="24">
        <v>0.13757523645743766</v>
      </c>
      <c r="D118" s="7">
        <f t="shared" si="17"/>
        <v>0.576</v>
      </c>
      <c r="E118" s="24">
        <v>0.13757523645743766</v>
      </c>
      <c r="F118" s="7">
        <f t="shared" si="9"/>
        <v>0</v>
      </c>
      <c r="G118" s="8"/>
    </row>
    <row r="119" spans="1:7" ht="15.75">
      <c r="A119" s="3">
        <v>114</v>
      </c>
      <c r="B119" s="7">
        <f t="shared" si="16"/>
        <v>63.5</v>
      </c>
      <c r="C119" s="23">
        <f>63.5/4.1868</f>
        <v>15.166714435845993</v>
      </c>
      <c r="D119" s="7">
        <f t="shared" si="17"/>
        <v>63.92</v>
      </c>
      <c r="E119" s="23">
        <f>63.92/4.1868</f>
        <v>15.267029712429542</v>
      </c>
      <c r="F119" s="7">
        <f t="shared" si="9"/>
        <v>0.1003152765835491</v>
      </c>
      <c r="G119" s="8"/>
    </row>
    <row r="120" spans="1:7" ht="15.75">
      <c r="A120" s="3">
        <v>115</v>
      </c>
      <c r="B120" s="7">
        <f t="shared" si="16"/>
        <v>26.726</v>
      </c>
      <c r="C120" s="24">
        <f>26.726/4.1868</f>
        <v>6.383395433266457</v>
      </c>
      <c r="D120" s="7">
        <f t="shared" si="17"/>
        <v>26.932</v>
      </c>
      <c r="E120" s="24">
        <f>26.932/4.1868</f>
        <v>6.432597687971721</v>
      </c>
      <c r="F120" s="7">
        <f t="shared" si="9"/>
        <v>0.04920225470526418</v>
      </c>
      <c r="G120" s="8"/>
    </row>
    <row r="121" spans="1:7" ht="15.75">
      <c r="A121" s="3">
        <v>116</v>
      </c>
      <c r="B121" s="7">
        <f t="shared" si="16"/>
        <v>198.165</v>
      </c>
      <c r="C121" s="23">
        <f>198.165/4.1868</f>
        <v>47.33089710518773</v>
      </c>
      <c r="D121" s="7">
        <v>0</v>
      </c>
      <c r="E121" s="23" t="s">
        <v>9</v>
      </c>
      <c r="F121" s="7"/>
      <c r="G121" s="8">
        <v>0.6876774193548386</v>
      </c>
    </row>
    <row r="122" spans="1:7" ht="15.75">
      <c r="A122" s="3">
        <v>117</v>
      </c>
      <c r="B122" s="7">
        <v>0</v>
      </c>
      <c r="C122" s="24">
        <v>0</v>
      </c>
      <c r="D122" s="7">
        <v>0</v>
      </c>
      <c r="E122" s="24">
        <v>0.011</v>
      </c>
      <c r="F122" s="7">
        <f t="shared" si="9"/>
        <v>0.011</v>
      </c>
      <c r="G122" s="8"/>
    </row>
    <row r="123" spans="1:7" ht="15.75">
      <c r="A123" s="3">
        <v>118</v>
      </c>
      <c r="B123" s="7">
        <f aca="true" t="shared" si="18" ref="B123:B130">C123*4.1868</f>
        <v>0</v>
      </c>
      <c r="C123" s="23">
        <v>0</v>
      </c>
      <c r="D123" s="7">
        <f aca="true" t="shared" si="19" ref="D123:D130">E123*4.1868</f>
        <v>0.0020934</v>
      </c>
      <c r="E123" s="23">
        <v>0.0005</v>
      </c>
      <c r="F123" s="7">
        <f t="shared" si="9"/>
        <v>0.0005</v>
      </c>
      <c r="G123" s="8"/>
    </row>
    <row r="124" spans="1:7" ht="15.75">
      <c r="A124" s="3">
        <v>119</v>
      </c>
      <c r="B124" s="7">
        <f t="shared" si="18"/>
        <v>0</v>
      </c>
      <c r="C124" s="25">
        <v>0</v>
      </c>
      <c r="D124" s="7">
        <f t="shared" si="19"/>
        <v>0.13942044</v>
      </c>
      <c r="E124" s="25">
        <v>0.0333</v>
      </c>
      <c r="F124" s="7">
        <f t="shared" si="9"/>
        <v>0.0333</v>
      </c>
      <c r="G124" s="8"/>
    </row>
    <row r="125" spans="1:7" ht="15.75">
      <c r="A125" s="3">
        <v>120</v>
      </c>
      <c r="B125" s="7">
        <f t="shared" si="18"/>
        <v>3.44657376</v>
      </c>
      <c r="C125" s="24">
        <v>0.8232</v>
      </c>
      <c r="D125" s="7">
        <f t="shared" si="19"/>
        <v>3.49723404</v>
      </c>
      <c r="E125" s="24">
        <v>0.8353</v>
      </c>
      <c r="F125" s="7">
        <f t="shared" si="9"/>
        <v>0.0121</v>
      </c>
      <c r="G125" s="8"/>
    </row>
    <row r="126" spans="1:7" ht="15.75">
      <c r="A126" s="3">
        <v>121</v>
      </c>
      <c r="B126" s="7">
        <f t="shared" si="18"/>
        <v>0</v>
      </c>
      <c r="C126" s="24">
        <v>0</v>
      </c>
      <c r="D126" s="7">
        <f t="shared" si="19"/>
        <v>0</v>
      </c>
      <c r="E126" s="24">
        <v>0</v>
      </c>
      <c r="F126" s="7">
        <f t="shared" si="9"/>
        <v>0</v>
      </c>
      <c r="G126" s="8"/>
    </row>
    <row r="127" spans="1:7" ht="15.75">
      <c r="A127" s="3">
        <v>122</v>
      </c>
      <c r="B127" s="7">
        <f t="shared" si="18"/>
        <v>37.328</v>
      </c>
      <c r="C127" s="24">
        <f>37.328/4.1868</f>
        <v>8.915639629311169</v>
      </c>
      <c r="D127" s="7">
        <v>0</v>
      </c>
      <c r="E127" s="24" t="s">
        <v>9</v>
      </c>
      <c r="F127" s="7"/>
      <c r="G127" s="8">
        <f>'[1]Макаренко 22'!J126</f>
        <v>0.3257419354838709</v>
      </c>
    </row>
    <row r="128" spans="1:7" ht="15.75">
      <c r="A128" s="3">
        <v>123</v>
      </c>
      <c r="B128" s="7">
        <v>0</v>
      </c>
      <c r="C128" s="24" t="s">
        <v>9</v>
      </c>
      <c r="D128" s="7">
        <v>0</v>
      </c>
      <c r="E128" s="24" t="s">
        <v>9</v>
      </c>
      <c r="F128" s="7"/>
      <c r="G128" s="8">
        <f>'[1]Макаренко 22'!J127</f>
        <v>0.5371451612903225</v>
      </c>
    </row>
    <row r="129" spans="1:7" ht="15.75">
      <c r="A129" s="3">
        <v>124</v>
      </c>
      <c r="B129" s="7">
        <f t="shared" si="18"/>
        <v>0</v>
      </c>
      <c r="C129" s="24">
        <v>0</v>
      </c>
      <c r="D129" s="7">
        <f t="shared" si="19"/>
        <v>0.38058011999999997</v>
      </c>
      <c r="E129" s="24">
        <v>0.0909</v>
      </c>
      <c r="F129" s="7">
        <f t="shared" si="9"/>
        <v>0.0909</v>
      </c>
      <c r="G129" s="8"/>
    </row>
    <row r="130" spans="1:7" ht="15.75">
      <c r="A130" s="3">
        <v>125</v>
      </c>
      <c r="B130" s="7">
        <f t="shared" si="18"/>
        <v>73.143</v>
      </c>
      <c r="C130" s="24">
        <f>73.143/4.1868</f>
        <v>17.469905417024936</v>
      </c>
      <c r="D130" s="7">
        <f t="shared" si="19"/>
        <v>74.19</v>
      </c>
      <c r="E130" s="24">
        <f>74.19/4.1868</f>
        <v>17.719977070793924</v>
      </c>
      <c r="F130" s="7">
        <f t="shared" si="9"/>
        <v>0.25007165376898755</v>
      </c>
      <c r="G130" s="8"/>
    </row>
    <row r="131" spans="1:7" ht="15.75">
      <c r="A131" s="3">
        <v>126</v>
      </c>
      <c r="B131" s="7">
        <v>0</v>
      </c>
      <c r="C131" s="24">
        <v>0</v>
      </c>
      <c r="D131" s="7">
        <v>0</v>
      </c>
      <c r="E131" s="24">
        <v>0</v>
      </c>
      <c r="F131" s="7">
        <f t="shared" si="9"/>
        <v>0</v>
      </c>
      <c r="G131" s="8"/>
    </row>
    <row r="132" spans="1:7" ht="15.75">
      <c r="A132" s="3">
        <v>127</v>
      </c>
      <c r="B132" s="7">
        <f aca="true" t="shared" si="20" ref="B132:B137">C132*4.1868</f>
        <v>0</v>
      </c>
      <c r="C132" s="24">
        <v>0</v>
      </c>
      <c r="D132" s="7">
        <f aca="true" t="shared" si="21" ref="D132:D137">E132*4.1868</f>
        <v>0.1863126</v>
      </c>
      <c r="E132" s="24">
        <v>0.0445</v>
      </c>
      <c r="F132" s="7">
        <f t="shared" si="9"/>
        <v>0.0445</v>
      </c>
      <c r="G132" s="8"/>
    </row>
    <row r="133" spans="1:7" ht="15.75">
      <c r="A133" s="3">
        <v>128</v>
      </c>
      <c r="B133" s="7">
        <f t="shared" si="20"/>
        <v>0</v>
      </c>
      <c r="C133" s="24">
        <v>0</v>
      </c>
      <c r="D133" s="7">
        <f t="shared" si="21"/>
        <v>0</v>
      </c>
      <c r="E133" s="24">
        <v>0</v>
      </c>
      <c r="F133" s="7">
        <f t="shared" si="9"/>
        <v>0</v>
      </c>
      <c r="G133" s="8"/>
    </row>
    <row r="134" spans="1:7" ht="15.75">
      <c r="A134" s="3">
        <v>129</v>
      </c>
      <c r="B134" s="7">
        <f t="shared" si="20"/>
        <v>63.671</v>
      </c>
      <c r="C134" s="24">
        <f>63.671/4.1868</f>
        <v>15.207557084169295</v>
      </c>
      <c r="D134" s="7">
        <f t="shared" si="21"/>
        <v>64.158</v>
      </c>
      <c r="E134" s="24">
        <f>64.158/4.1868</f>
        <v>15.323875035826886</v>
      </c>
      <c r="F134" s="7">
        <f t="shared" si="9"/>
        <v>0.11631795165759051</v>
      </c>
      <c r="G134" s="8"/>
    </row>
    <row r="135" spans="1:7" ht="15.75">
      <c r="A135" s="3">
        <v>130</v>
      </c>
      <c r="B135" s="7">
        <f t="shared" si="20"/>
        <v>0</v>
      </c>
      <c r="C135" s="23">
        <v>0</v>
      </c>
      <c r="D135" s="7">
        <f t="shared" si="21"/>
        <v>0</v>
      </c>
      <c r="E135" s="23">
        <v>0</v>
      </c>
      <c r="F135" s="7">
        <f aca="true" t="shared" si="22" ref="F135:F157">E135-C135</f>
        <v>0</v>
      </c>
      <c r="G135" s="8"/>
    </row>
    <row r="136" spans="1:7" ht="15.75">
      <c r="A136" s="3">
        <v>131</v>
      </c>
      <c r="B136" s="7">
        <f t="shared" si="20"/>
        <v>21.35268</v>
      </c>
      <c r="C136" s="24">
        <v>5.1</v>
      </c>
      <c r="D136" s="7">
        <f t="shared" si="21"/>
        <v>21.77136</v>
      </c>
      <c r="E136" s="24">
        <v>5.2</v>
      </c>
      <c r="F136" s="7">
        <f t="shared" si="22"/>
        <v>0.10000000000000053</v>
      </c>
      <c r="G136" s="8"/>
    </row>
    <row r="137" spans="1:7" ht="15.75">
      <c r="A137" s="3">
        <v>132</v>
      </c>
      <c r="B137" s="7">
        <f t="shared" si="20"/>
        <v>6.975</v>
      </c>
      <c r="C137" s="23">
        <f>6.975/4.1868</f>
        <v>1.6659501289767842</v>
      </c>
      <c r="D137" s="7">
        <f t="shared" si="21"/>
        <v>6.975</v>
      </c>
      <c r="E137" s="23">
        <f>6.975/4.1868</f>
        <v>1.6659501289767842</v>
      </c>
      <c r="F137" s="7">
        <f t="shared" si="22"/>
        <v>0</v>
      </c>
      <c r="G137" s="8"/>
    </row>
    <row r="138" spans="1:7" ht="15.75">
      <c r="A138" s="3">
        <v>133</v>
      </c>
      <c r="B138" s="7">
        <v>0</v>
      </c>
      <c r="C138" s="24">
        <f>10.372/4.1868</f>
        <v>2.4773096398203878</v>
      </c>
      <c r="D138" s="7">
        <v>0</v>
      </c>
      <c r="E138" s="24" t="s">
        <v>9</v>
      </c>
      <c r="F138" s="7"/>
      <c r="G138" s="8">
        <f>'[1]Макаренко 22'!J137</f>
        <v>0.2985967741935484</v>
      </c>
    </row>
    <row r="139" spans="1:7" ht="15.75">
      <c r="A139" s="3">
        <v>134</v>
      </c>
      <c r="B139" s="7">
        <f>C139*4.1868</f>
        <v>58.6152</v>
      </c>
      <c r="C139" s="24">
        <v>14</v>
      </c>
      <c r="D139" s="7">
        <f>E139*4.1868</f>
        <v>59.87124</v>
      </c>
      <c r="E139" s="24">
        <v>14.3</v>
      </c>
      <c r="F139" s="7">
        <f t="shared" si="22"/>
        <v>0.3000000000000007</v>
      </c>
      <c r="G139" s="8"/>
    </row>
    <row r="140" spans="1:7" ht="15.75">
      <c r="A140" s="3">
        <v>135</v>
      </c>
      <c r="B140" s="7">
        <v>0</v>
      </c>
      <c r="C140" s="24" t="s">
        <v>9</v>
      </c>
      <c r="D140" s="7">
        <v>0</v>
      </c>
      <c r="E140" s="24" t="s">
        <v>9</v>
      </c>
      <c r="F140" s="7"/>
      <c r="G140" s="8">
        <f>'[1]Макаренко 22'!J139</f>
        <v>0.4951935483870968</v>
      </c>
    </row>
    <row r="141" spans="1:7" ht="15.75">
      <c r="A141" s="3">
        <v>136</v>
      </c>
      <c r="B141" s="7">
        <f aca="true" t="shared" si="23" ref="B141:B150">C141*4.1868</f>
        <v>0</v>
      </c>
      <c r="C141" s="24">
        <v>0</v>
      </c>
      <c r="D141" s="7">
        <f>E141*4.1868</f>
        <v>0</v>
      </c>
      <c r="E141" s="24">
        <v>0</v>
      </c>
      <c r="F141" s="7">
        <f t="shared" si="22"/>
        <v>0</v>
      </c>
      <c r="G141" s="8"/>
    </row>
    <row r="142" spans="1:7" ht="15.75">
      <c r="A142" s="3">
        <v>137</v>
      </c>
      <c r="B142" s="7">
        <f t="shared" si="23"/>
        <v>5.971</v>
      </c>
      <c r="C142" s="23">
        <f>5.971/4.1868</f>
        <v>1.4261488487627783</v>
      </c>
      <c r="D142" s="7">
        <f>E142*4.1868</f>
        <v>5.971</v>
      </c>
      <c r="E142" s="23">
        <f>5.971/4.1868</f>
        <v>1.4261488487627783</v>
      </c>
      <c r="F142" s="7">
        <f t="shared" si="22"/>
        <v>0</v>
      </c>
      <c r="G142" s="8"/>
    </row>
    <row r="143" spans="1:7" ht="15.75">
      <c r="A143" s="3">
        <v>138</v>
      </c>
      <c r="B143" s="7">
        <f t="shared" si="23"/>
        <v>0</v>
      </c>
      <c r="C143" s="24">
        <v>0</v>
      </c>
      <c r="D143" s="7">
        <v>0</v>
      </c>
      <c r="E143" s="24">
        <v>0</v>
      </c>
      <c r="F143" s="7">
        <f t="shared" si="22"/>
        <v>0</v>
      </c>
      <c r="G143" s="8"/>
    </row>
    <row r="144" spans="1:7" ht="15.75">
      <c r="A144" s="3">
        <v>139</v>
      </c>
      <c r="B144" s="7">
        <f t="shared" si="23"/>
        <v>0</v>
      </c>
      <c r="C144" s="23">
        <v>0</v>
      </c>
      <c r="D144" s="7">
        <f>E144*4.1868</f>
        <v>0.1381644</v>
      </c>
      <c r="E144" s="23">
        <v>0.033</v>
      </c>
      <c r="F144" s="7">
        <f t="shared" si="22"/>
        <v>0.033</v>
      </c>
      <c r="G144" s="8"/>
    </row>
    <row r="145" spans="1:7" ht="15.75">
      <c r="A145" s="3">
        <v>140</v>
      </c>
      <c r="B145" s="7">
        <f t="shared" si="23"/>
        <v>52.4</v>
      </c>
      <c r="C145" s="23">
        <f>52.4/4.1868</f>
        <v>12.515524983280788</v>
      </c>
      <c r="D145" s="7">
        <v>0</v>
      </c>
      <c r="E145" s="23" t="s">
        <v>9</v>
      </c>
      <c r="F145" s="7"/>
      <c r="G145" s="8">
        <f>'[1]Макаренко 22'!J144</f>
        <v>0.32738709677419353</v>
      </c>
    </row>
    <row r="146" spans="1:7" ht="15.75">
      <c r="A146" s="3">
        <v>141</v>
      </c>
      <c r="B146" s="7">
        <f t="shared" si="23"/>
        <v>64.0119852</v>
      </c>
      <c r="C146" s="24">
        <v>15.289</v>
      </c>
      <c r="D146" s="7">
        <f>E146*4.1868</f>
        <v>64.7949168</v>
      </c>
      <c r="E146" s="24">
        <v>15.476</v>
      </c>
      <c r="F146" s="7">
        <f t="shared" si="22"/>
        <v>0.18700000000000117</v>
      </c>
      <c r="G146" s="8"/>
    </row>
    <row r="147" spans="1:7" ht="15.75">
      <c r="A147" s="3">
        <v>142</v>
      </c>
      <c r="B147" s="7">
        <f t="shared" si="23"/>
        <v>73.634</v>
      </c>
      <c r="C147" s="23">
        <f>73.634/4.1868</f>
        <v>17.587178752269036</v>
      </c>
      <c r="D147" s="7">
        <f>E147*4.1868</f>
        <v>73.746</v>
      </c>
      <c r="E147" s="23">
        <f>73.746/4.1868</f>
        <v>17.613929492691316</v>
      </c>
      <c r="F147" s="7">
        <f t="shared" si="22"/>
        <v>0.026750740422279762</v>
      </c>
      <c r="G147" s="8"/>
    </row>
    <row r="148" spans="1:7" ht="15.75">
      <c r="A148" s="3">
        <v>143</v>
      </c>
      <c r="B148" s="7">
        <f t="shared" si="23"/>
        <v>0</v>
      </c>
      <c r="C148" s="24">
        <v>0</v>
      </c>
      <c r="D148" s="7">
        <f>E148*4.1868</f>
        <v>0.85955004</v>
      </c>
      <c r="E148" s="24">
        <v>0.2053</v>
      </c>
      <c r="F148" s="7">
        <f t="shared" si="22"/>
        <v>0.2053</v>
      </c>
      <c r="G148" s="8"/>
    </row>
    <row r="149" spans="1:7" ht="15.75">
      <c r="A149" s="3">
        <v>144</v>
      </c>
      <c r="B149" s="7">
        <f t="shared" si="23"/>
        <v>134.896</v>
      </c>
      <c r="C149" s="24">
        <f>134.896/4.1868</f>
        <v>32.21935607146269</v>
      </c>
      <c r="D149" s="7">
        <v>0</v>
      </c>
      <c r="E149" s="24" t="s">
        <v>9</v>
      </c>
      <c r="F149" s="7"/>
      <c r="G149" s="8">
        <f>'[1]Макаренко 22'!J148</f>
        <v>0.4943709677419354</v>
      </c>
    </row>
    <row r="150" spans="1:7" ht="15.75">
      <c r="A150" s="3">
        <v>145</v>
      </c>
      <c r="B150" s="7">
        <f t="shared" si="23"/>
        <v>31.193</v>
      </c>
      <c r="C150" s="24">
        <f>31.193/4.1868</f>
        <v>7.450320053501481</v>
      </c>
      <c r="D150" s="7">
        <f>E150*4.1868</f>
        <v>31.193</v>
      </c>
      <c r="E150" s="24">
        <f>31.193/4.1868</f>
        <v>7.450320053501481</v>
      </c>
      <c r="F150" s="7">
        <f t="shared" si="22"/>
        <v>0</v>
      </c>
      <c r="G150" s="8"/>
    </row>
    <row r="151" spans="1:7" ht="15.75">
      <c r="A151" s="3">
        <v>146</v>
      </c>
      <c r="B151" s="7">
        <f>C151*4.1868</f>
        <v>24.206</v>
      </c>
      <c r="C151" s="23">
        <f>24.206/4.1868</f>
        <v>5.781503773765166</v>
      </c>
      <c r="D151" s="7">
        <f>E151*4.1868</f>
        <v>24.455</v>
      </c>
      <c r="E151" s="23">
        <f>24.455/4.1868</f>
        <v>5.840976402025413</v>
      </c>
      <c r="F151" s="7">
        <f t="shared" si="22"/>
        <v>0.05947262826024691</v>
      </c>
      <c r="G151" s="8"/>
    </row>
    <row r="152" spans="1:7" ht="15.75">
      <c r="A152" s="3">
        <v>147</v>
      </c>
      <c r="B152" s="7">
        <f>C152*4.1868</f>
        <v>7.682999999999999</v>
      </c>
      <c r="C152" s="24">
        <v>1.8350530237890512</v>
      </c>
      <c r="D152" s="7">
        <f>E152*4.1868</f>
        <v>7.682999999999999</v>
      </c>
      <c r="E152" s="24">
        <v>1.8350530237890512</v>
      </c>
      <c r="F152" s="7">
        <f t="shared" si="22"/>
        <v>0</v>
      </c>
      <c r="G152" s="8"/>
    </row>
    <row r="153" spans="1:7" ht="15.75">
      <c r="A153" s="3">
        <v>148</v>
      </c>
      <c r="B153" s="7">
        <f>C153*4.1868</f>
        <v>0</v>
      </c>
      <c r="C153" s="24">
        <v>0</v>
      </c>
      <c r="D153" s="7">
        <f>E153*4.1868</f>
        <v>0.22692456</v>
      </c>
      <c r="E153" s="24">
        <v>0.0542</v>
      </c>
      <c r="F153" s="7">
        <f t="shared" si="22"/>
        <v>0.0542</v>
      </c>
      <c r="G153" s="8"/>
    </row>
    <row r="154" spans="1:7" ht="15.75">
      <c r="A154" s="3">
        <v>149</v>
      </c>
      <c r="B154" s="7">
        <v>0</v>
      </c>
      <c r="C154" s="25" t="s">
        <v>10</v>
      </c>
      <c r="D154" s="7">
        <v>0</v>
      </c>
      <c r="E154" s="25" t="s">
        <v>10</v>
      </c>
      <c r="F154" s="7"/>
      <c r="G154" s="8">
        <f>'[1]Макаренко 22'!J153</f>
        <v>0.32738709677419353</v>
      </c>
    </row>
    <row r="155" spans="1:7" ht="15.75">
      <c r="A155" s="3">
        <v>150</v>
      </c>
      <c r="B155" s="7">
        <f>C155*4.1868</f>
        <v>109.8323244</v>
      </c>
      <c r="C155" s="24">
        <v>26.233</v>
      </c>
      <c r="D155" s="7">
        <f>E155*4.1868</f>
        <v>109.9328076</v>
      </c>
      <c r="E155" s="24">
        <v>26.257</v>
      </c>
      <c r="F155" s="7">
        <f t="shared" si="22"/>
        <v>0.02400000000000091</v>
      </c>
      <c r="G155" s="8"/>
    </row>
    <row r="156" spans="1:7" ht="15.75">
      <c r="A156" s="3">
        <v>151</v>
      </c>
      <c r="B156" s="7">
        <f>C156*4.1868</f>
        <v>50.7147084</v>
      </c>
      <c r="C156" s="28">
        <v>12.113</v>
      </c>
      <c r="D156" s="7">
        <f>E156*4.1868</f>
        <v>50.827752000000004</v>
      </c>
      <c r="E156" s="28">
        <v>12.14</v>
      </c>
      <c r="F156" s="7">
        <f t="shared" si="22"/>
        <v>0.027000000000001023</v>
      </c>
      <c r="G156" s="8"/>
    </row>
    <row r="157" spans="1:7" ht="15.75">
      <c r="A157" s="3">
        <v>152</v>
      </c>
      <c r="B157" s="7">
        <f>C157*4.1868</f>
        <v>84.32675748</v>
      </c>
      <c r="C157" s="29">
        <v>20.1411</v>
      </c>
      <c r="D157" s="7">
        <f>E157*4.1868</f>
        <v>84.70398816000001</v>
      </c>
      <c r="E157" s="29">
        <v>20.2312</v>
      </c>
      <c r="F157" s="7">
        <f t="shared" si="22"/>
        <v>0.09009999999999962</v>
      </c>
      <c r="G157" s="8"/>
    </row>
    <row r="158" spans="1:7" ht="15.75">
      <c r="A158" s="11" t="s">
        <v>11</v>
      </c>
      <c r="B158" s="12"/>
      <c r="C158" s="13"/>
      <c r="D158" s="14"/>
      <c r="E158" s="13"/>
      <c r="F158" s="32">
        <v>14.127</v>
      </c>
      <c r="G158" s="32"/>
    </row>
    <row r="159" spans="1:7" ht="15.75">
      <c r="A159" s="11" t="s">
        <v>12</v>
      </c>
      <c r="B159" s="15"/>
      <c r="C159" s="16"/>
      <c r="D159" s="15"/>
      <c r="E159" s="16"/>
      <c r="F159" s="33">
        <f>SUM(F6:F157)</f>
        <v>8.315380538836347</v>
      </c>
      <c r="G159" s="33"/>
    </row>
    <row r="160" spans="1:8" ht="15.75">
      <c r="A160" s="11" t="s">
        <v>13</v>
      </c>
      <c r="B160" s="11"/>
      <c r="C160" s="17"/>
      <c r="D160" s="12"/>
      <c r="E160" s="18"/>
      <c r="F160" s="33">
        <v>12.399</v>
      </c>
      <c r="G160" s="33"/>
      <c r="H160" s="30"/>
    </row>
    <row r="161" spans="1:9" ht="18.75" customHeight="1">
      <c r="A161" s="15" t="s">
        <v>14</v>
      </c>
      <c r="B161" s="19"/>
      <c r="C161" s="20"/>
      <c r="D161" s="21"/>
      <c r="E161" s="22"/>
      <c r="F161" s="34">
        <v>0</v>
      </c>
      <c r="G161" s="34"/>
      <c r="H161" s="30"/>
      <c r="I161" s="30"/>
    </row>
    <row r="162" spans="1:9" ht="15.75">
      <c r="A162" s="35" t="s">
        <v>15</v>
      </c>
      <c r="B162" s="35"/>
      <c r="C162" s="35"/>
      <c r="D162" s="35"/>
      <c r="E162" s="35"/>
      <c r="F162" s="36">
        <v>0</v>
      </c>
      <c r="G162" s="36"/>
      <c r="I162" s="30"/>
    </row>
  </sheetData>
  <sheetProtection selectLockedCells="1" selectUnlockedCells="1"/>
  <mergeCells count="15">
    <mergeCell ref="A1:F1"/>
    <mergeCell ref="A2:A5"/>
    <mergeCell ref="B2:G2"/>
    <mergeCell ref="B3:C3"/>
    <mergeCell ref="D3:E3"/>
    <mergeCell ref="F3:F5"/>
    <mergeCell ref="G3:G5"/>
    <mergeCell ref="B5:C5"/>
    <mergeCell ref="D5:E5"/>
    <mergeCell ref="F158:G158"/>
    <mergeCell ref="F159:G159"/>
    <mergeCell ref="F160:G160"/>
    <mergeCell ref="F161:G161"/>
    <mergeCell ref="A162:E162"/>
    <mergeCell ref="F162:G16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Есакова Ирина Ивановна</cp:lastModifiedBy>
  <dcterms:modified xsi:type="dcterms:W3CDTF">2020-11-06T09:37:19Z</dcterms:modified>
  <cp:category/>
  <cp:version/>
  <cp:contentType/>
  <cp:contentStatus/>
</cp:coreProperties>
</file>