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Макаренко 24" sheetId="1" r:id="rId1"/>
  </sheets>
  <definedNames/>
  <calcPr fullCalcOnLoad="1"/>
</workbook>
</file>

<file path=xl/sharedStrings.xml><?xml version="1.0" encoding="utf-8"?>
<sst xmlns="http://schemas.openxmlformats.org/spreadsheetml/2006/main" count="58" uniqueCount="20">
  <si>
    <t>Показания приборов учета отопления за МАРТ 2020 г по адресу: г.Белгород ул.Макаренко д.24</t>
  </si>
  <si>
    <t>Квартира</t>
  </si>
  <si>
    <t>Показания прибора</t>
  </si>
  <si>
    <t>Начало периода</t>
  </si>
  <si>
    <t>Конец периода</t>
  </si>
  <si>
    <t>Приращение за период по счетчикам</t>
  </si>
  <si>
    <t>По нормативу, по среднему</t>
  </si>
  <si>
    <t xml:space="preserve"> кДж</t>
  </si>
  <si>
    <t>Гкал</t>
  </si>
  <si>
    <t>кДж</t>
  </si>
  <si>
    <t>27.02.2020.  0:00:00</t>
  </si>
  <si>
    <t>25.03.2020. 0:00:00</t>
  </si>
  <si>
    <t>н/п</t>
  </si>
  <si>
    <t>н/р</t>
  </si>
  <si>
    <t>н/д</t>
  </si>
  <si>
    <t>Расход по ОДПУ</t>
  </si>
  <si>
    <t>Расход по ИПУ</t>
  </si>
  <si>
    <t>Корректировка</t>
  </si>
  <si>
    <t>Расход на ОДН</t>
  </si>
  <si>
    <t>ОДН на 1 м2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</si>
</sst>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0"/>
    <numFmt numFmtId="166" formatCode="0.0000"/>
    <numFmt numFmtId="167" formatCode="#,##0.000"/>
    <numFmt numFmtId="168" formatCode="0.00000"/>
  </numFmts>
  <fonts count="8">
    <font>
      <sz val="11"/>
      <color indexed="8"/>
      <name val="Calibri"/>
      <family val="2"/>
    </font>
    <font>
      <sz val="10"/>
      <name val="Arial"/>
      <family val="0"/>
    </font>
    <font>
      <sz val="11"/>
      <color indexed="10"/>
      <name val="Calibri"/>
      <family val="2"/>
    </font>
    <font>
      <b/>
      <i/>
      <sz val="14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0" fillId="2" borderId="0" xfId="0" applyFill="1" applyAlignment="1">
      <alignment/>
    </xf>
    <xf numFmtId="165" fontId="2" fillId="0" borderId="0" xfId="0" applyNumberFormat="1" applyFont="1" applyAlignment="1">
      <alignment horizontal="center"/>
    </xf>
    <xf numFmtId="164" fontId="3" fillId="0" borderId="1" xfId="0" applyFont="1" applyBorder="1" applyAlignment="1">
      <alignment horizontal="center" wrapText="1"/>
    </xf>
    <xf numFmtId="164" fontId="4" fillId="0" borderId="2" xfId="0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 wrapText="1"/>
    </xf>
    <xf numFmtId="165" fontId="5" fillId="0" borderId="3" xfId="0" applyNumberFormat="1" applyFont="1" applyBorder="1" applyAlignment="1">
      <alignment horizontal="center" vertical="center" wrapText="1"/>
    </xf>
    <xf numFmtId="164" fontId="6" fillId="0" borderId="0" xfId="0" applyFont="1" applyAlignment="1">
      <alignment horizontal="center" vertical="center"/>
    </xf>
    <xf numFmtId="165" fontId="4" fillId="2" borderId="2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/>
    </xf>
    <xf numFmtId="166" fontId="7" fillId="2" borderId="4" xfId="0" applyNumberFormat="1" applyFont="1" applyFill="1" applyBorder="1" applyAlignment="1">
      <alignment/>
    </xf>
    <xf numFmtId="167" fontId="5" fillId="2" borderId="4" xfId="0" applyNumberFormat="1" applyFont="1" applyFill="1" applyBorder="1" applyAlignment="1">
      <alignment horizontal="center"/>
    </xf>
    <xf numFmtId="166" fontId="7" fillId="2" borderId="5" xfId="0" applyNumberFormat="1" applyFont="1" applyFill="1" applyBorder="1" applyAlignment="1">
      <alignment/>
    </xf>
    <xf numFmtId="166" fontId="4" fillId="2" borderId="4" xfId="0" applyNumberFormat="1" applyFont="1" applyFill="1" applyBorder="1" applyAlignment="1">
      <alignment horizontal="right" vertical="center"/>
    </xf>
    <xf numFmtId="166" fontId="7" fillId="2" borderId="6" xfId="0" applyNumberFormat="1" applyFont="1" applyFill="1" applyBorder="1" applyAlignment="1">
      <alignment/>
    </xf>
    <xf numFmtId="166" fontId="7" fillId="2" borderId="2" xfId="0" applyNumberFormat="1" applyFont="1" applyFill="1" applyBorder="1" applyAlignment="1">
      <alignment horizontal="right"/>
    </xf>
    <xf numFmtId="164" fontId="4" fillId="0" borderId="7" xfId="0" applyFont="1" applyBorder="1" applyAlignment="1">
      <alignment vertical="center"/>
    </xf>
    <xf numFmtId="164" fontId="4" fillId="0" borderId="8" xfId="0" applyFont="1" applyBorder="1" applyAlignment="1">
      <alignment vertical="center"/>
    </xf>
    <xf numFmtId="165" fontId="4" fillId="2" borderId="8" xfId="0" applyNumberFormat="1" applyFont="1" applyFill="1" applyBorder="1" applyAlignment="1">
      <alignment vertical="center"/>
    </xf>
    <xf numFmtId="165" fontId="4" fillId="0" borderId="8" xfId="0" applyNumberFormat="1" applyFont="1" applyBorder="1" applyAlignment="1">
      <alignment vertical="center"/>
    </xf>
    <xf numFmtId="165" fontId="4" fillId="3" borderId="2" xfId="0" applyNumberFormat="1" applyFont="1" applyFill="1" applyBorder="1" applyAlignment="1">
      <alignment horizontal="center" vertical="center"/>
    </xf>
    <xf numFmtId="164" fontId="4" fillId="0" borderId="2" xfId="0" applyFont="1" applyBorder="1" applyAlignment="1">
      <alignment vertical="center"/>
    </xf>
    <xf numFmtId="164" fontId="4" fillId="2" borderId="2" xfId="0" applyFont="1" applyFill="1" applyBorder="1" applyAlignment="1">
      <alignment vertical="center"/>
    </xf>
    <xf numFmtId="165" fontId="5" fillId="0" borderId="2" xfId="0" applyNumberFormat="1" applyFont="1" applyBorder="1" applyAlignment="1">
      <alignment horizontal="center" vertical="center"/>
    </xf>
    <xf numFmtId="164" fontId="4" fillId="0" borderId="2" xfId="0" applyFont="1" applyBorder="1" applyAlignment="1">
      <alignment horizontal="left" vertical="center"/>
    </xf>
    <xf numFmtId="168" fontId="4" fillId="0" borderId="2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12121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2"/>
  <sheetViews>
    <sheetView tabSelected="1" workbookViewId="0" topLeftCell="A1">
      <pane xSplit="1" ySplit="5" topLeftCell="B133" activePane="bottomRight" state="frozen"/>
      <selection pane="topLeft" activeCell="A1" sqref="A1"/>
      <selection pane="topRight" activeCell="B1" sqref="B1"/>
      <selection pane="bottomLeft" activeCell="A133" sqref="A133"/>
      <selection pane="bottomRight" activeCell="F162" sqref="F162"/>
    </sheetView>
  </sheetViews>
  <sheetFormatPr defaultColWidth="9.140625" defaultRowHeight="15"/>
  <cols>
    <col min="1" max="1" width="10.57421875" style="0" customWidth="1"/>
    <col min="2" max="2" width="19.7109375" style="0" customWidth="1"/>
    <col min="3" max="3" width="18.421875" style="1" customWidth="1"/>
    <col min="4" max="4" width="17.8515625" style="0" customWidth="1"/>
    <col min="5" max="5" width="17.7109375" style="1" customWidth="1"/>
    <col min="6" max="6" width="16.421875" style="0" customWidth="1"/>
    <col min="7" max="7" width="13.00390625" style="2" customWidth="1"/>
  </cols>
  <sheetData>
    <row r="1" spans="1:6" ht="51" customHeight="1">
      <c r="A1" s="3" t="s">
        <v>0</v>
      </c>
      <c r="B1" s="3"/>
      <c r="C1" s="3"/>
      <c r="D1" s="3"/>
      <c r="E1" s="3"/>
      <c r="F1" s="3"/>
    </row>
    <row r="2" spans="1:7" ht="17.25" customHeight="1">
      <c r="A2" s="4" t="s">
        <v>1</v>
      </c>
      <c r="B2" s="4" t="s">
        <v>2</v>
      </c>
      <c r="C2" s="4"/>
      <c r="D2" s="4"/>
      <c r="E2" s="4"/>
      <c r="F2" s="4"/>
      <c r="G2" s="4"/>
    </row>
    <row r="3" spans="1:7" ht="16.5" customHeight="1">
      <c r="A3" s="4"/>
      <c r="B3" s="5" t="s">
        <v>3</v>
      </c>
      <c r="C3" s="5"/>
      <c r="D3" s="5" t="s">
        <v>4</v>
      </c>
      <c r="E3" s="5"/>
      <c r="F3" s="6" t="s">
        <v>5</v>
      </c>
      <c r="G3" s="7" t="s">
        <v>6</v>
      </c>
    </row>
    <row r="4" spans="1:7" ht="18.75" customHeight="1">
      <c r="A4" s="4"/>
      <c r="B4" s="8" t="s">
        <v>7</v>
      </c>
      <c r="C4" s="9" t="s">
        <v>8</v>
      </c>
      <c r="D4" s="5" t="s">
        <v>9</v>
      </c>
      <c r="E4" s="9" t="s">
        <v>8</v>
      </c>
      <c r="F4" s="6"/>
      <c r="G4" s="7"/>
    </row>
    <row r="5" spans="1:7" ht="17.25" customHeight="1">
      <c r="A5" s="4"/>
      <c r="B5" s="9" t="s">
        <v>10</v>
      </c>
      <c r="C5" s="9"/>
      <c r="D5" s="9" t="s">
        <v>11</v>
      </c>
      <c r="E5" s="9"/>
      <c r="F5" s="6"/>
      <c r="G5" s="7"/>
    </row>
    <row r="6" spans="1:7" ht="16.5">
      <c r="A6" s="4">
        <v>1</v>
      </c>
      <c r="B6" s="10">
        <f>C6*4.1868</f>
        <v>88.101</v>
      </c>
      <c r="C6" s="11">
        <f>88.101/4.1868</f>
        <v>21.04256233877902</v>
      </c>
      <c r="D6" s="10">
        <f>E6*4.1868</f>
        <v>90.95</v>
      </c>
      <c r="E6" s="11">
        <f>90.95/4.1868</f>
        <v>21.723034298270758</v>
      </c>
      <c r="F6" s="10">
        <f>E6-C6</f>
        <v>0.6804719594917366</v>
      </c>
      <c r="G6" s="12"/>
    </row>
    <row r="7" spans="1:7" ht="16.5">
      <c r="A7" s="4">
        <v>2</v>
      </c>
      <c r="B7" s="10">
        <v>0</v>
      </c>
      <c r="C7" s="11" t="s">
        <v>12</v>
      </c>
      <c r="D7" s="10">
        <v>0</v>
      </c>
      <c r="E7" s="11" t="s">
        <v>12</v>
      </c>
      <c r="F7" s="10">
        <v>0</v>
      </c>
      <c r="G7" s="12">
        <v>0.596</v>
      </c>
    </row>
    <row r="8" spans="1:7" ht="16.5">
      <c r="A8" s="4">
        <v>3</v>
      </c>
      <c r="B8" s="10">
        <f aca="true" t="shared" si="0" ref="B8:B9">C8*4.1868</f>
        <v>99.05</v>
      </c>
      <c r="C8" s="11">
        <f>99.05/4.1868</f>
        <v>23.657686060953473</v>
      </c>
      <c r="D8" s="10">
        <f aca="true" t="shared" si="1" ref="D8:D9">E8*4.1868</f>
        <v>99.101</v>
      </c>
      <c r="E8" s="11">
        <f>99.101/4.1868</f>
        <v>23.669867201681477</v>
      </c>
      <c r="F8" s="10">
        <f aca="true" t="shared" si="2" ref="F8:F9">E8-C8</f>
        <v>0.01218114072800347</v>
      </c>
      <c r="G8" s="12"/>
    </row>
    <row r="9" spans="1:7" ht="16.5">
      <c r="A9" s="4">
        <v>4</v>
      </c>
      <c r="B9" s="10">
        <f t="shared" si="0"/>
        <v>111.474</v>
      </c>
      <c r="C9" s="11">
        <f>111.474/4.1868</f>
        <v>26.625107480653483</v>
      </c>
      <c r="D9" s="10">
        <f t="shared" si="1"/>
        <v>111.495</v>
      </c>
      <c r="E9" s="11">
        <f>111.495/4.1868</f>
        <v>26.63012324448266</v>
      </c>
      <c r="F9" s="10">
        <f t="shared" si="2"/>
        <v>0.005015763829177899</v>
      </c>
      <c r="G9" s="12"/>
    </row>
    <row r="10" spans="1:7" ht="16.5">
      <c r="A10" s="4">
        <v>5</v>
      </c>
      <c r="B10" s="10">
        <v>0</v>
      </c>
      <c r="C10" s="11" t="s">
        <v>13</v>
      </c>
      <c r="D10" s="10">
        <v>0</v>
      </c>
      <c r="E10" s="11" t="s">
        <v>13</v>
      </c>
      <c r="F10" s="10">
        <v>0</v>
      </c>
      <c r="G10" s="12">
        <v>0.594</v>
      </c>
    </row>
    <row r="11" spans="1:7" ht="16.5">
      <c r="A11" s="4">
        <v>6</v>
      </c>
      <c r="B11" s="10">
        <v>0</v>
      </c>
      <c r="C11" s="11">
        <v>45.624</v>
      </c>
      <c r="D11" s="10">
        <v>0</v>
      </c>
      <c r="E11" s="11">
        <v>45.624</v>
      </c>
      <c r="F11" s="10">
        <f aca="true" t="shared" si="3" ref="F11:F25">E11-C11</f>
        <v>0</v>
      </c>
      <c r="G11" s="12"/>
    </row>
    <row r="12" spans="1:7" ht="16.5">
      <c r="A12" s="4">
        <v>7</v>
      </c>
      <c r="B12" s="10">
        <f>C12*4.1868</f>
        <v>54.16</v>
      </c>
      <c r="C12" s="11">
        <f>54.16/4.1868</f>
        <v>12.935893761345179</v>
      </c>
      <c r="D12" s="10">
        <f>E12*4.1868</f>
        <v>55.766</v>
      </c>
      <c r="E12" s="11">
        <f>55.766/4.1868</f>
        <v>13.319480271328938</v>
      </c>
      <c r="F12" s="10">
        <f t="shared" si="3"/>
        <v>0.3835865099837594</v>
      </c>
      <c r="G12" s="12"/>
    </row>
    <row r="13" spans="1:7" ht="16.5">
      <c r="A13" s="4">
        <v>8</v>
      </c>
      <c r="B13" s="10">
        <v>0</v>
      </c>
      <c r="C13" s="11">
        <v>4.1212</v>
      </c>
      <c r="D13" s="10">
        <v>0</v>
      </c>
      <c r="E13" s="11">
        <v>5.4324</v>
      </c>
      <c r="F13" s="10">
        <f t="shared" si="3"/>
        <v>1.3112000000000004</v>
      </c>
      <c r="G13" s="12"/>
    </row>
    <row r="14" spans="1:7" ht="16.5">
      <c r="A14" s="4">
        <v>9</v>
      </c>
      <c r="B14" s="10">
        <f aca="true" t="shared" si="4" ref="B14:B19">C14*4.1868</f>
        <v>75.07602288</v>
      </c>
      <c r="C14" s="11">
        <v>17.9316</v>
      </c>
      <c r="D14" s="10">
        <f aca="true" t="shared" si="5" ref="D14:D19">E14*4.1868</f>
        <v>78.51003623999999</v>
      </c>
      <c r="E14" s="11">
        <v>18.7518</v>
      </c>
      <c r="F14" s="10">
        <f t="shared" si="3"/>
        <v>0.8201999999999998</v>
      </c>
      <c r="G14" s="12"/>
    </row>
    <row r="15" spans="1:7" ht="16.5">
      <c r="A15" s="4">
        <v>10</v>
      </c>
      <c r="B15" s="10">
        <f t="shared" si="4"/>
        <v>7.4357568</v>
      </c>
      <c r="C15" s="11">
        <v>1.776</v>
      </c>
      <c r="D15" s="10">
        <f t="shared" si="5"/>
        <v>7.6241628</v>
      </c>
      <c r="E15" s="11">
        <v>1.821</v>
      </c>
      <c r="F15" s="10">
        <f t="shared" si="3"/>
        <v>0.04499999999999993</v>
      </c>
      <c r="G15" s="12"/>
    </row>
    <row r="16" spans="1:7" ht="16.5">
      <c r="A16" s="4">
        <v>11</v>
      </c>
      <c r="B16" s="10">
        <f t="shared" si="4"/>
        <v>19.594</v>
      </c>
      <c r="C16" s="11">
        <f>19.594/4.1868</f>
        <v>4.679946498519156</v>
      </c>
      <c r="D16" s="10">
        <f t="shared" si="5"/>
        <v>19.977</v>
      </c>
      <c r="E16" s="11">
        <f>19.977/4.1868</f>
        <v>4.7714244769274865</v>
      </c>
      <c r="F16" s="10">
        <f t="shared" si="3"/>
        <v>0.0914779784083306</v>
      </c>
      <c r="G16" s="12"/>
    </row>
    <row r="17" spans="1:7" ht="16.5">
      <c r="A17" s="4">
        <v>12</v>
      </c>
      <c r="B17" s="10">
        <f t="shared" si="4"/>
        <v>3.12</v>
      </c>
      <c r="C17" s="11">
        <f>3.12/4.1868</f>
        <v>0.7451991974777874</v>
      </c>
      <c r="D17" s="10">
        <f t="shared" si="5"/>
        <v>5.457</v>
      </c>
      <c r="E17" s="11">
        <f>5.457/4.1868</f>
        <v>1.3033820578962454</v>
      </c>
      <c r="F17" s="10">
        <f t="shared" si="3"/>
        <v>0.558182860418458</v>
      </c>
      <c r="G17" s="12"/>
    </row>
    <row r="18" spans="1:7" ht="16.5">
      <c r="A18" s="4">
        <v>13</v>
      </c>
      <c r="B18" s="10">
        <f t="shared" si="4"/>
        <v>57.199</v>
      </c>
      <c r="C18" s="11">
        <f>57.199/4.1868</f>
        <v>13.66174644119614</v>
      </c>
      <c r="D18" s="10">
        <f t="shared" si="5"/>
        <v>57.366</v>
      </c>
      <c r="E18" s="11">
        <f>57.366/4.1868</f>
        <v>13.701633705932933</v>
      </c>
      <c r="F18" s="10">
        <f t="shared" si="3"/>
        <v>0.039887264736792716</v>
      </c>
      <c r="G18" s="12"/>
    </row>
    <row r="19" spans="1:7" ht="16.5">
      <c r="A19" s="4">
        <v>14</v>
      </c>
      <c r="B19" s="10">
        <f t="shared" si="4"/>
        <v>32.193</v>
      </c>
      <c r="C19" s="11">
        <f>32.193/4.1868</f>
        <v>7.689165950128976</v>
      </c>
      <c r="D19" s="10">
        <f t="shared" si="5"/>
        <v>32.193</v>
      </c>
      <c r="E19" s="11">
        <f>32.193/4.1868</f>
        <v>7.689165950128976</v>
      </c>
      <c r="F19" s="10">
        <f t="shared" si="3"/>
        <v>0</v>
      </c>
      <c r="G19" s="12"/>
    </row>
    <row r="20" spans="1:7" ht="16.5">
      <c r="A20" s="4">
        <v>15</v>
      </c>
      <c r="B20" s="10">
        <v>0</v>
      </c>
      <c r="C20" s="11">
        <v>0.8289</v>
      </c>
      <c r="D20" s="10">
        <v>0</v>
      </c>
      <c r="E20" s="11">
        <v>0.9493</v>
      </c>
      <c r="F20" s="10">
        <f t="shared" si="3"/>
        <v>0.12040000000000006</v>
      </c>
      <c r="G20" s="12"/>
    </row>
    <row r="21" spans="1:7" ht="16.5">
      <c r="A21" s="4">
        <v>16</v>
      </c>
      <c r="B21" s="10">
        <f aca="true" t="shared" si="6" ref="B21:B52">C21*4.1868</f>
        <v>20.069</v>
      </c>
      <c r="C21" s="11">
        <f>20.069/4.1868</f>
        <v>4.793398299417216</v>
      </c>
      <c r="D21" s="10">
        <f aca="true" t="shared" si="7" ref="D21:D43">E21*4.1868</f>
        <v>20.737</v>
      </c>
      <c r="E21" s="11">
        <f>20.737/4.1868</f>
        <v>4.9529473583643835</v>
      </c>
      <c r="F21" s="10">
        <f t="shared" si="3"/>
        <v>0.1595490589471673</v>
      </c>
      <c r="G21" s="12"/>
    </row>
    <row r="22" spans="1:7" ht="16.5">
      <c r="A22" s="4">
        <v>17</v>
      </c>
      <c r="B22" s="10">
        <f t="shared" si="6"/>
        <v>70.108</v>
      </c>
      <c r="C22" s="11">
        <f>70.108/4.1868</f>
        <v>16.745008120760488</v>
      </c>
      <c r="D22" s="10">
        <f t="shared" si="7"/>
        <v>70.78</v>
      </c>
      <c r="E22" s="11">
        <f>70.78/4.1868</f>
        <v>16.905512563294163</v>
      </c>
      <c r="F22" s="10">
        <f t="shared" si="3"/>
        <v>0.16050444253367502</v>
      </c>
      <c r="G22" s="12"/>
    </row>
    <row r="23" spans="1:7" ht="16.5">
      <c r="A23" s="4">
        <v>18</v>
      </c>
      <c r="B23" s="10">
        <f t="shared" si="6"/>
        <v>21.77052264</v>
      </c>
      <c r="C23" s="11">
        <v>5.1998</v>
      </c>
      <c r="D23" s="10">
        <f t="shared" si="7"/>
        <v>24.86414916</v>
      </c>
      <c r="E23" s="11">
        <v>5.9387</v>
      </c>
      <c r="F23" s="10">
        <f t="shared" si="3"/>
        <v>0.7389000000000001</v>
      </c>
      <c r="G23" s="12"/>
    </row>
    <row r="24" spans="1:7" ht="16.5">
      <c r="A24" s="4">
        <v>19</v>
      </c>
      <c r="B24" s="10">
        <f t="shared" si="6"/>
        <v>0.53</v>
      </c>
      <c r="C24" s="13">
        <f>0.53/4.1868</f>
        <v>0.12658832521257285</v>
      </c>
      <c r="D24" s="10">
        <f t="shared" si="7"/>
        <v>0.532</v>
      </c>
      <c r="E24" s="13">
        <f>0.532/4.1868</f>
        <v>0.12706601700582784</v>
      </c>
      <c r="F24" s="10">
        <f t="shared" si="3"/>
        <v>0.0004776917932549918</v>
      </c>
      <c r="G24" s="12"/>
    </row>
    <row r="25" spans="1:7" ht="16.5">
      <c r="A25" s="4">
        <v>20</v>
      </c>
      <c r="B25" s="10">
        <f t="shared" si="6"/>
        <v>32.69</v>
      </c>
      <c r="C25" s="11">
        <f>32.69/4.1868</f>
        <v>7.807872360752842</v>
      </c>
      <c r="D25" s="10">
        <f t="shared" si="7"/>
        <v>35.281</v>
      </c>
      <c r="E25" s="11">
        <f>35.281/4.1868</f>
        <v>8.426722078914684</v>
      </c>
      <c r="F25" s="10">
        <f t="shared" si="3"/>
        <v>0.618849718161842</v>
      </c>
      <c r="G25" s="12"/>
    </row>
    <row r="26" spans="1:7" ht="16.5">
      <c r="A26" s="4">
        <v>21</v>
      </c>
      <c r="B26" s="10" t="e">
        <f t="shared" si="6"/>
        <v>#VALUE!</v>
      </c>
      <c r="C26" s="11" t="s">
        <v>14</v>
      </c>
      <c r="D26" s="10">
        <f t="shared" si="7"/>
        <v>38.826</v>
      </c>
      <c r="E26" s="11">
        <f>38.826/4.1868</f>
        <v>9.273430782459158</v>
      </c>
      <c r="F26" s="10">
        <v>0</v>
      </c>
      <c r="G26" s="12">
        <v>0.659</v>
      </c>
    </row>
    <row r="27" spans="1:7" ht="16.5">
      <c r="A27" s="4">
        <v>22</v>
      </c>
      <c r="B27" s="10">
        <f t="shared" si="6"/>
        <v>49.988</v>
      </c>
      <c r="C27" s="11">
        <f>49.988/4.1868</f>
        <v>11.939428680615267</v>
      </c>
      <c r="D27" s="10">
        <f t="shared" si="7"/>
        <v>51.365</v>
      </c>
      <c r="E27" s="11">
        <f>51.365/4.1868</f>
        <v>12.26831948027133</v>
      </c>
      <c r="F27" s="10">
        <f aca="true" t="shared" si="8" ref="F27:F43">E27-C27</f>
        <v>0.3288907996560635</v>
      </c>
      <c r="G27" s="12"/>
    </row>
    <row r="28" spans="1:7" ht="16.5">
      <c r="A28" s="4">
        <v>23</v>
      </c>
      <c r="B28" s="10">
        <f t="shared" si="6"/>
        <v>14.925</v>
      </c>
      <c r="C28" s="11">
        <f>14.925/4.1868</f>
        <v>3.564775007165377</v>
      </c>
      <c r="D28" s="10">
        <f t="shared" si="7"/>
        <v>15.839</v>
      </c>
      <c r="E28" s="11">
        <f>15.839/4.1868</f>
        <v>3.7830801566829084</v>
      </c>
      <c r="F28" s="10">
        <f t="shared" si="8"/>
        <v>0.21830514951753122</v>
      </c>
      <c r="G28" s="12"/>
    </row>
    <row r="29" spans="1:7" ht="16.5">
      <c r="A29" s="4">
        <v>24</v>
      </c>
      <c r="B29" s="10">
        <f t="shared" si="6"/>
        <v>68.729</v>
      </c>
      <c r="C29" s="11">
        <f>68.729/4.1868</f>
        <v>16.41563962931117</v>
      </c>
      <c r="D29" s="10">
        <f t="shared" si="7"/>
        <v>68.729</v>
      </c>
      <c r="E29" s="11">
        <f>68.729/4.1868</f>
        <v>16.41563962931117</v>
      </c>
      <c r="F29" s="10">
        <f t="shared" si="8"/>
        <v>0</v>
      </c>
      <c r="G29" s="12"/>
    </row>
    <row r="30" spans="1:7" ht="16.5">
      <c r="A30" s="4">
        <v>25</v>
      </c>
      <c r="B30" s="10">
        <f t="shared" si="6"/>
        <v>20.893</v>
      </c>
      <c r="C30" s="11">
        <f>20.893/4.1868</f>
        <v>4.990207318238273</v>
      </c>
      <c r="D30" s="10">
        <f t="shared" si="7"/>
        <v>21.121</v>
      </c>
      <c r="E30" s="11">
        <f>21.121/4.1868</f>
        <v>5.044664182669342</v>
      </c>
      <c r="F30" s="10">
        <f t="shared" si="8"/>
        <v>0.05445686443106901</v>
      </c>
      <c r="G30" s="12"/>
    </row>
    <row r="31" spans="1:7" ht="16.5">
      <c r="A31" s="4">
        <v>26</v>
      </c>
      <c r="B31" s="10">
        <f t="shared" si="6"/>
        <v>2.57530068</v>
      </c>
      <c r="C31" s="11">
        <v>0.6151</v>
      </c>
      <c r="D31" s="10">
        <f t="shared" si="7"/>
        <v>3.22844148</v>
      </c>
      <c r="E31" s="11">
        <v>0.7711</v>
      </c>
      <c r="F31" s="10">
        <f t="shared" si="8"/>
        <v>0.15600000000000003</v>
      </c>
      <c r="G31" s="12"/>
    </row>
    <row r="32" spans="1:7" ht="16.5">
      <c r="A32" s="4">
        <v>27</v>
      </c>
      <c r="B32" s="10">
        <f t="shared" si="6"/>
        <v>17.019</v>
      </c>
      <c r="C32" s="11">
        <f>17.019/4.1868</f>
        <v>4.064918314703353</v>
      </c>
      <c r="D32" s="10">
        <f t="shared" si="7"/>
        <v>17.28</v>
      </c>
      <c r="E32" s="11">
        <f>17.28/4.1868</f>
        <v>4.12725709372313</v>
      </c>
      <c r="F32" s="10">
        <f t="shared" si="8"/>
        <v>0.062338779019777135</v>
      </c>
      <c r="G32" s="12"/>
    </row>
    <row r="33" spans="1:7" ht="16.5">
      <c r="A33" s="4">
        <v>28</v>
      </c>
      <c r="B33" s="10">
        <f t="shared" si="6"/>
        <v>68.443</v>
      </c>
      <c r="C33" s="11">
        <f>68.443/4.1868</f>
        <v>16.347329702875705</v>
      </c>
      <c r="D33" s="10">
        <f t="shared" si="7"/>
        <v>69.997</v>
      </c>
      <c r="E33" s="11">
        <f>69.997/4.1868</f>
        <v>16.718496226234834</v>
      </c>
      <c r="F33" s="10">
        <f t="shared" si="8"/>
        <v>0.37116652335912903</v>
      </c>
      <c r="G33" s="12"/>
    </row>
    <row r="34" spans="1:7" ht="16.5">
      <c r="A34" s="4">
        <v>29</v>
      </c>
      <c r="B34" s="10">
        <f t="shared" si="6"/>
        <v>87.92</v>
      </c>
      <c r="C34" s="11">
        <f>87.92/4.1868</f>
        <v>20.999331231489442</v>
      </c>
      <c r="D34" s="10">
        <f t="shared" si="7"/>
        <v>89.999</v>
      </c>
      <c r="E34" s="11">
        <f>89.999/4.1868</f>
        <v>21.49589185057801</v>
      </c>
      <c r="F34" s="10">
        <f t="shared" si="8"/>
        <v>0.49656061908856586</v>
      </c>
      <c r="G34" s="12"/>
    </row>
    <row r="35" spans="1:7" ht="16.5">
      <c r="A35" s="4">
        <v>30</v>
      </c>
      <c r="B35" s="10">
        <f t="shared" si="6"/>
        <v>18.573</v>
      </c>
      <c r="C35" s="11">
        <v>4.436084838062483</v>
      </c>
      <c r="D35" s="10">
        <f t="shared" si="7"/>
        <v>18.573</v>
      </c>
      <c r="E35" s="11">
        <v>4.436084838062483</v>
      </c>
      <c r="F35" s="10">
        <f t="shared" si="8"/>
        <v>0</v>
      </c>
      <c r="G35" s="12"/>
    </row>
    <row r="36" spans="1:7" ht="16.5">
      <c r="A36" s="4">
        <v>31</v>
      </c>
      <c r="B36" s="10">
        <f t="shared" si="6"/>
        <v>72.198</v>
      </c>
      <c r="C36" s="11">
        <f>72.198/4.1868</f>
        <v>17.244196044711952</v>
      </c>
      <c r="D36" s="10">
        <f t="shared" si="7"/>
        <v>73.862</v>
      </c>
      <c r="E36" s="11">
        <f>73.862/4.1868</f>
        <v>17.641635616700103</v>
      </c>
      <c r="F36" s="10">
        <f t="shared" si="8"/>
        <v>0.3974395719881514</v>
      </c>
      <c r="G36" s="12"/>
    </row>
    <row r="37" spans="1:7" ht="16.5">
      <c r="A37" s="4">
        <v>32</v>
      </c>
      <c r="B37" s="10">
        <f t="shared" si="6"/>
        <v>8.390347199999999</v>
      </c>
      <c r="C37" s="11">
        <v>2.004</v>
      </c>
      <c r="D37" s="10">
        <f t="shared" si="7"/>
        <v>8.390347199999999</v>
      </c>
      <c r="E37" s="11">
        <v>2.004</v>
      </c>
      <c r="F37" s="10">
        <f t="shared" si="8"/>
        <v>0</v>
      </c>
      <c r="G37" s="12"/>
    </row>
    <row r="38" spans="1:7" ht="16.5">
      <c r="A38" s="4">
        <v>33</v>
      </c>
      <c r="B38" s="10">
        <f t="shared" si="6"/>
        <v>44.535</v>
      </c>
      <c r="C38" s="14">
        <f>44.535/4.1868</f>
        <v>10.637002006305531</v>
      </c>
      <c r="D38" s="10">
        <f t="shared" si="7"/>
        <v>47.589</v>
      </c>
      <c r="E38" s="14">
        <f>47.589/4.1868</f>
        <v>11.366437374605905</v>
      </c>
      <c r="F38" s="10">
        <f t="shared" si="8"/>
        <v>0.7294353683003738</v>
      </c>
      <c r="G38" s="12"/>
    </row>
    <row r="39" spans="1:7" ht="16.5">
      <c r="A39" s="4">
        <v>34</v>
      </c>
      <c r="B39" s="10">
        <f t="shared" si="6"/>
        <v>2.198</v>
      </c>
      <c r="C39" s="11">
        <v>0.5249832807872361</v>
      </c>
      <c r="D39" s="10">
        <f t="shared" si="7"/>
        <v>2.198</v>
      </c>
      <c r="E39" s="11">
        <v>0.5249832807872361</v>
      </c>
      <c r="F39" s="10">
        <f t="shared" si="8"/>
        <v>0</v>
      </c>
      <c r="G39" s="12"/>
    </row>
    <row r="40" spans="1:7" ht="16.5">
      <c r="A40" s="4">
        <v>35</v>
      </c>
      <c r="B40" s="10">
        <f t="shared" si="6"/>
        <v>90.055</v>
      </c>
      <c r="C40" s="11">
        <f>90.055/4.1868</f>
        <v>21.509267220789148</v>
      </c>
      <c r="D40" s="10">
        <f t="shared" si="7"/>
        <v>90.055</v>
      </c>
      <c r="E40" s="11">
        <f>90.055/4.1868</f>
        <v>21.509267220789148</v>
      </c>
      <c r="F40" s="10">
        <f t="shared" si="8"/>
        <v>0</v>
      </c>
      <c r="G40" s="12"/>
    </row>
    <row r="41" spans="1:7" ht="16.5">
      <c r="A41" s="4">
        <v>36</v>
      </c>
      <c r="B41" s="10">
        <f t="shared" si="6"/>
        <v>96.04</v>
      </c>
      <c r="C41" s="11">
        <f>96.04/4.1868</f>
        <v>22.93875991210471</v>
      </c>
      <c r="D41" s="10">
        <f t="shared" si="7"/>
        <v>97.922</v>
      </c>
      <c r="E41" s="11">
        <f>97.922/4.1868</f>
        <v>23.388267889557657</v>
      </c>
      <c r="F41" s="10">
        <f t="shared" si="8"/>
        <v>0.4495079774529458</v>
      </c>
      <c r="G41" s="12"/>
    </row>
    <row r="42" spans="1:7" ht="16.5">
      <c r="A42" s="4">
        <v>37</v>
      </c>
      <c r="B42" s="10">
        <f t="shared" si="6"/>
        <v>49.191</v>
      </c>
      <c r="C42" s="11">
        <f>49.191/4.1868</f>
        <v>11.749068501003153</v>
      </c>
      <c r="D42" s="10">
        <f t="shared" si="7"/>
        <v>50.793</v>
      </c>
      <c r="E42" s="11">
        <f>50.793/4.1868</f>
        <v>12.131699627400401</v>
      </c>
      <c r="F42" s="10">
        <f t="shared" si="8"/>
        <v>0.38263112639724817</v>
      </c>
      <c r="G42" s="12"/>
    </row>
    <row r="43" spans="1:7" ht="16.5">
      <c r="A43" s="4">
        <v>38</v>
      </c>
      <c r="B43" s="10">
        <f t="shared" si="6"/>
        <v>44.106</v>
      </c>
      <c r="C43" s="11">
        <f>44.106/4.1868</f>
        <v>10.534537116652336</v>
      </c>
      <c r="D43" s="10">
        <f t="shared" si="7"/>
        <v>44.106</v>
      </c>
      <c r="E43" s="11">
        <f>44.106/4.1868</f>
        <v>10.534537116652336</v>
      </c>
      <c r="F43" s="10">
        <f t="shared" si="8"/>
        <v>0</v>
      </c>
      <c r="G43" s="12"/>
    </row>
    <row r="44" spans="1:7" ht="16.5">
      <c r="A44" s="4">
        <v>39</v>
      </c>
      <c r="B44" s="10" t="e">
        <f t="shared" si="6"/>
        <v>#VALUE!</v>
      </c>
      <c r="C44" s="11" t="s">
        <v>13</v>
      </c>
      <c r="D44" s="10">
        <v>0</v>
      </c>
      <c r="E44" s="11" t="s">
        <v>13</v>
      </c>
      <c r="F44" s="10">
        <v>0</v>
      </c>
      <c r="G44" s="12">
        <v>0.66</v>
      </c>
    </row>
    <row r="45" spans="1:7" ht="16.5">
      <c r="A45" s="4">
        <v>40</v>
      </c>
      <c r="B45" s="10">
        <f t="shared" si="6"/>
        <v>37.1</v>
      </c>
      <c r="C45" s="11">
        <v>8.8611827648801</v>
      </c>
      <c r="D45" s="10">
        <f aca="true" t="shared" si="9" ref="D45:D52">E45*4.1868</f>
        <v>37.1</v>
      </c>
      <c r="E45" s="11">
        <v>8.8611827648801</v>
      </c>
      <c r="F45" s="10">
        <f aca="true" t="shared" si="10" ref="F45:F52">E45-C45</f>
        <v>0</v>
      </c>
      <c r="G45" s="12"/>
    </row>
    <row r="46" spans="1:7" ht="16.5">
      <c r="A46" s="4">
        <v>41</v>
      </c>
      <c r="B46" s="10">
        <f t="shared" si="6"/>
        <v>72.058</v>
      </c>
      <c r="C46" s="11">
        <f>72.058/4.1868</f>
        <v>17.210757619184104</v>
      </c>
      <c r="D46" s="10">
        <f t="shared" si="9"/>
        <v>77.519</v>
      </c>
      <c r="E46" s="11">
        <f>77.519/4.1868</f>
        <v>18.51509506066686</v>
      </c>
      <c r="F46" s="10">
        <f t="shared" si="10"/>
        <v>1.3043374414827547</v>
      </c>
      <c r="G46" s="12"/>
    </row>
    <row r="47" spans="1:7" ht="16.5">
      <c r="A47" s="4">
        <v>42</v>
      </c>
      <c r="B47" s="10">
        <f t="shared" si="6"/>
        <v>102.436</v>
      </c>
      <c r="C47" s="11">
        <f>102.436/4.1868</f>
        <v>24.466418266934177</v>
      </c>
      <c r="D47" s="10">
        <f t="shared" si="9"/>
        <v>103.442</v>
      </c>
      <c r="E47" s="11">
        <f>103.442/4.1868</f>
        <v>24.706697238941434</v>
      </c>
      <c r="F47" s="10">
        <f t="shared" si="10"/>
        <v>0.2402789720072569</v>
      </c>
      <c r="G47" s="12"/>
    </row>
    <row r="48" spans="1:7" ht="16.5">
      <c r="A48" s="4">
        <v>43</v>
      </c>
      <c r="B48" s="10">
        <f t="shared" si="6"/>
        <v>21.371</v>
      </c>
      <c r="C48" s="11">
        <f>21.371/4.1868</f>
        <v>5.104375656826216</v>
      </c>
      <c r="D48" s="10">
        <f t="shared" si="9"/>
        <v>21.677</v>
      </c>
      <c r="E48" s="11">
        <f>21.677/4.1868</f>
        <v>5.1774625011942295</v>
      </c>
      <c r="F48" s="10">
        <f t="shared" si="10"/>
        <v>0.07308684436801371</v>
      </c>
      <c r="G48" s="12"/>
    </row>
    <row r="49" spans="1:7" ht="16.5">
      <c r="A49" s="4">
        <v>44</v>
      </c>
      <c r="B49" s="10">
        <f t="shared" si="6"/>
        <v>92.254</v>
      </c>
      <c r="C49" s="11">
        <f>92.254/4.1868</f>
        <v>22.034489347473013</v>
      </c>
      <c r="D49" s="10">
        <f t="shared" si="9"/>
        <v>92.254</v>
      </c>
      <c r="E49" s="11">
        <f>92.254/4.1868</f>
        <v>22.034489347473013</v>
      </c>
      <c r="F49" s="10">
        <f t="shared" si="10"/>
        <v>0</v>
      </c>
      <c r="G49" s="12"/>
    </row>
    <row r="50" spans="1:7" ht="16.5">
      <c r="A50" s="4">
        <v>45</v>
      </c>
      <c r="B50" s="10">
        <f t="shared" si="6"/>
        <v>0.15114348</v>
      </c>
      <c r="C50" s="11">
        <v>0.0361</v>
      </c>
      <c r="D50" s="10">
        <f t="shared" si="9"/>
        <v>0.18589392</v>
      </c>
      <c r="E50" s="11">
        <v>0.0444</v>
      </c>
      <c r="F50" s="10">
        <f t="shared" si="10"/>
        <v>0.008300000000000002</v>
      </c>
      <c r="G50" s="12"/>
    </row>
    <row r="51" spans="1:7" ht="16.5">
      <c r="A51" s="4">
        <v>46</v>
      </c>
      <c r="B51" s="10">
        <f t="shared" si="6"/>
        <v>5.402</v>
      </c>
      <c r="C51" s="11">
        <f>5.402/4.1868</f>
        <v>1.290245533581733</v>
      </c>
      <c r="D51" s="10">
        <f t="shared" si="9"/>
        <v>5.489</v>
      </c>
      <c r="E51" s="11">
        <f>5.489/4.1868</f>
        <v>1.3110251265883253</v>
      </c>
      <c r="F51" s="10">
        <f t="shared" si="10"/>
        <v>0.020779593006592156</v>
      </c>
      <c r="G51" s="12"/>
    </row>
    <row r="52" spans="1:7" ht="16.5">
      <c r="A52" s="4">
        <v>47</v>
      </c>
      <c r="B52" s="10">
        <f t="shared" si="6"/>
        <v>6.322068</v>
      </c>
      <c r="C52" s="11">
        <v>1.51</v>
      </c>
      <c r="D52" s="10">
        <f t="shared" si="9"/>
        <v>6.4309248</v>
      </c>
      <c r="E52" s="11">
        <v>1.536</v>
      </c>
      <c r="F52" s="10">
        <f t="shared" si="10"/>
        <v>0.026000000000000023</v>
      </c>
      <c r="G52" s="12"/>
    </row>
    <row r="53" spans="1:7" ht="16.5">
      <c r="A53" s="4">
        <v>48</v>
      </c>
      <c r="B53" s="10">
        <v>0</v>
      </c>
      <c r="C53" s="11" t="s">
        <v>13</v>
      </c>
      <c r="D53" s="10">
        <v>0</v>
      </c>
      <c r="E53" s="11" t="s">
        <v>13</v>
      </c>
      <c r="F53" s="10">
        <v>0</v>
      </c>
      <c r="G53" s="12">
        <v>0.66</v>
      </c>
    </row>
    <row r="54" spans="1:7" ht="16.5">
      <c r="A54" s="4">
        <v>49</v>
      </c>
      <c r="B54" s="10">
        <f aca="true" t="shared" si="11" ref="B54:B59">C54*4.1868</f>
        <v>68.436</v>
      </c>
      <c r="C54" s="11">
        <f>68.436/4.1868</f>
        <v>16.345657781599314</v>
      </c>
      <c r="D54" s="10">
        <f aca="true" t="shared" si="12" ref="D54:D59">E54*4.1868</f>
        <v>70.682</v>
      </c>
      <c r="E54" s="11">
        <f>70.682/4.1868</f>
        <v>16.882105665424668</v>
      </c>
      <c r="F54" s="10">
        <f aca="true" t="shared" si="13" ref="F54:F59">E54-C54</f>
        <v>0.5364478838253532</v>
      </c>
      <c r="G54" s="12"/>
    </row>
    <row r="55" spans="1:7" ht="16.5">
      <c r="A55" s="4">
        <v>50</v>
      </c>
      <c r="B55" s="10">
        <f t="shared" si="11"/>
        <v>6.735999999999999</v>
      </c>
      <c r="C55" s="11">
        <f>6.736/4.1868</f>
        <v>1.6088659596828125</v>
      </c>
      <c r="D55" s="10">
        <f t="shared" si="12"/>
        <v>6.735999999999999</v>
      </c>
      <c r="E55" s="11">
        <f>6.736/4.1868</f>
        <v>1.6088659596828125</v>
      </c>
      <c r="F55" s="10">
        <f t="shared" si="13"/>
        <v>0</v>
      </c>
      <c r="G55" s="12"/>
    </row>
    <row r="56" spans="1:7" ht="16.5">
      <c r="A56" s="4">
        <v>51</v>
      </c>
      <c r="B56" s="10">
        <f t="shared" si="11"/>
        <v>2.2148172</v>
      </c>
      <c r="C56" s="11">
        <v>0.529</v>
      </c>
      <c r="D56" s="10">
        <f t="shared" si="12"/>
        <v>2.2650588000000003</v>
      </c>
      <c r="E56" s="11">
        <v>0.541</v>
      </c>
      <c r="F56" s="10">
        <f t="shared" si="13"/>
        <v>0.01200000000000001</v>
      </c>
      <c r="G56" s="12"/>
    </row>
    <row r="57" spans="1:7" ht="16.5">
      <c r="A57" s="4">
        <v>52</v>
      </c>
      <c r="B57" s="10">
        <f t="shared" si="11"/>
        <v>50.159</v>
      </c>
      <c r="C57" s="11">
        <f>50.159/4.1868</f>
        <v>11.980271328938569</v>
      </c>
      <c r="D57" s="10">
        <f t="shared" si="12"/>
        <v>52.159</v>
      </c>
      <c r="E57" s="11">
        <f>52.159/4.1868</f>
        <v>12.457963122193561</v>
      </c>
      <c r="F57" s="10">
        <f t="shared" si="13"/>
        <v>0.47769179325499245</v>
      </c>
      <c r="G57" s="12"/>
    </row>
    <row r="58" spans="1:7" ht="16.5">
      <c r="A58" s="4">
        <v>53</v>
      </c>
      <c r="B58" s="10">
        <f t="shared" si="11"/>
        <v>10.706</v>
      </c>
      <c r="C58" s="11">
        <f>10.706/4.1868</f>
        <v>2.5570841692939714</v>
      </c>
      <c r="D58" s="10">
        <f t="shared" si="12"/>
        <v>10.706</v>
      </c>
      <c r="E58" s="11">
        <f>10.706/4.1868</f>
        <v>2.5570841692939714</v>
      </c>
      <c r="F58" s="10">
        <f t="shared" si="13"/>
        <v>0</v>
      </c>
      <c r="G58" s="12"/>
    </row>
    <row r="59" spans="1:7" ht="16.5">
      <c r="A59" s="4">
        <v>54</v>
      </c>
      <c r="B59" s="10">
        <f t="shared" si="11"/>
        <v>53.879</v>
      </c>
      <c r="C59" s="11">
        <f>53.879/4.1868</f>
        <v>12.868778064392854</v>
      </c>
      <c r="D59" s="10">
        <f t="shared" si="12"/>
        <v>57.006</v>
      </c>
      <c r="E59" s="11">
        <f>57.006/4.1868</f>
        <v>13.615649183147035</v>
      </c>
      <c r="F59" s="10">
        <f t="shared" si="13"/>
        <v>0.7468711187541803</v>
      </c>
      <c r="G59" s="12"/>
    </row>
    <row r="60" spans="1:7" ht="16.5">
      <c r="A60" s="4">
        <v>55</v>
      </c>
      <c r="B60" s="10">
        <v>0</v>
      </c>
      <c r="C60" s="11" t="s">
        <v>13</v>
      </c>
      <c r="D60" s="10">
        <v>0</v>
      </c>
      <c r="E60" s="11" t="s">
        <v>13</v>
      </c>
      <c r="F60" s="10">
        <v>0</v>
      </c>
      <c r="G60" s="12">
        <v>0.5660000000000001</v>
      </c>
    </row>
    <row r="61" spans="1:7" ht="16.5">
      <c r="A61" s="4">
        <v>56</v>
      </c>
      <c r="B61" s="10">
        <f aca="true" t="shared" si="14" ref="B61:B65">C61*4.1868</f>
        <v>26.101</v>
      </c>
      <c r="C61" s="11">
        <f>26.101/4.1868</f>
        <v>6.234116747874271</v>
      </c>
      <c r="D61" s="10">
        <f>E61*4.1868</f>
        <v>26.157</v>
      </c>
      <c r="E61" s="11">
        <f>26.157/4.1868</f>
        <v>6.247492118085412</v>
      </c>
      <c r="F61" s="10">
        <f>E61-C61</f>
        <v>0.013375370211140769</v>
      </c>
      <c r="G61" s="12"/>
    </row>
    <row r="62" spans="1:7" ht="16.5">
      <c r="A62" s="4">
        <v>57</v>
      </c>
      <c r="B62" s="10" t="e">
        <f t="shared" si="14"/>
        <v>#VALUE!</v>
      </c>
      <c r="C62" s="11" t="s">
        <v>13</v>
      </c>
      <c r="D62" s="10">
        <v>0</v>
      </c>
      <c r="E62" s="11" t="s">
        <v>13</v>
      </c>
      <c r="F62" s="10">
        <v>0</v>
      </c>
      <c r="G62" s="12">
        <v>0.662</v>
      </c>
    </row>
    <row r="63" spans="1:7" ht="16.5">
      <c r="A63" s="4">
        <v>58</v>
      </c>
      <c r="B63" s="10">
        <f t="shared" si="14"/>
        <v>71.766</v>
      </c>
      <c r="C63" s="11">
        <f>71.766/4.1868</f>
        <v>17.141014617368874</v>
      </c>
      <c r="D63" s="10">
        <v>0</v>
      </c>
      <c r="E63" s="11" t="s">
        <v>13</v>
      </c>
      <c r="F63" s="10">
        <v>0</v>
      </c>
      <c r="G63" s="12">
        <v>0.597</v>
      </c>
    </row>
    <row r="64" spans="1:7" ht="16.5">
      <c r="A64" s="4">
        <v>59</v>
      </c>
      <c r="B64" s="10">
        <f t="shared" si="14"/>
        <v>31.383999999999997</v>
      </c>
      <c r="C64" s="11">
        <f>31.384/4.1868</f>
        <v>7.4959396197573325</v>
      </c>
      <c r="D64" s="10">
        <f aca="true" t="shared" si="15" ref="D64:D65">E64*4.1868</f>
        <v>32.544</v>
      </c>
      <c r="E64" s="11">
        <f>32.544/4.1868</f>
        <v>7.773000859845228</v>
      </c>
      <c r="F64" s="10">
        <f aca="true" t="shared" si="16" ref="F64:F65">E64-C64</f>
        <v>0.2770612400878951</v>
      </c>
      <c r="G64" s="12"/>
    </row>
    <row r="65" spans="1:7" ht="16.5">
      <c r="A65" s="4">
        <v>60</v>
      </c>
      <c r="B65" s="10">
        <f t="shared" si="14"/>
        <v>61.213</v>
      </c>
      <c r="C65" s="11">
        <f>61.213/4.1868</f>
        <v>14.620473870258909</v>
      </c>
      <c r="D65" s="10">
        <f t="shared" si="15"/>
        <v>62.398</v>
      </c>
      <c r="E65" s="11">
        <f>62.398/4.1868</f>
        <v>14.903506257762492</v>
      </c>
      <c r="F65" s="10">
        <f t="shared" si="16"/>
        <v>0.2830323875035834</v>
      </c>
      <c r="G65" s="12"/>
    </row>
    <row r="66" spans="1:7" ht="16.5">
      <c r="A66" s="4">
        <v>61</v>
      </c>
      <c r="B66" s="10">
        <v>0</v>
      </c>
      <c r="C66" s="11" t="s">
        <v>12</v>
      </c>
      <c r="D66" s="10">
        <v>0</v>
      </c>
      <c r="E66" s="11" t="s">
        <v>12</v>
      </c>
      <c r="F66" s="10">
        <v>0</v>
      </c>
      <c r="G66" s="12">
        <v>0.545</v>
      </c>
    </row>
    <row r="67" spans="1:7" ht="16.5">
      <c r="A67" s="4">
        <v>62</v>
      </c>
      <c r="B67" s="10">
        <f aca="true" t="shared" si="17" ref="B67:B78">C67*4.1868</f>
        <v>8.79228</v>
      </c>
      <c r="C67" s="11">
        <v>2.1</v>
      </c>
      <c r="D67" s="10">
        <f aca="true" t="shared" si="18" ref="D67:D78">E67*4.1868</f>
        <v>10.048319999999999</v>
      </c>
      <c r="E67" s="11">
        <v>2.4</v>
      </c>
      <c r="F67" s="10">
        <f aca="true" t="shared" si="19" ref="F67:F78">E67-C67</f>
        <v>0.2999999999999998</v>
      </c>
      <c r="G67" s="12"/>
    </row>
    <row r="68" spans="1:7" ht="16.5">
      <c r="A68" s="4">
        <v>63</v>
      </c>
      <c r="B68" s="10">
        <f t="shared" si="17"/>
        <v>92.477</v>
      </c>
      <c r="C68" s="11">
        <f>92.477/4.1868</f>
        <v>22.087751982420944</v>
      </c>
      <c r="D68" s="10">
        <f t="shared" si="18"/>
        <v>94.151</v>
      </c>
      <c r="E68" s="11">
        <f>94.151/4.1868</f>
        <v>22.48758001337537</v>
      </c>
      <c r="F68" s="10">
        <f t="shared" si="19"/>
        <v>0.39982803095442776</v>
      </c>
      <c r="G68" s="12"/>
    </row>
    <row r="69" spans="1:7" ht="16.5">
      <c r="A69" s="4">
        <v>64</v>
      </c>
      <c r="B69" s="10">
        <f t="shared" si="17"/>
        <v>18.489</v>
      </c>
      <c r="C69" s="11">
        <f>18.489/4.1868</f>
        <v>4.416021782745773</v>
      </c>
      <c r="D69" s="10">
        <f t="shared" si="18"/>
        <v>18.489</v>
      </c>
      <c r="E69" s="11">
        <f>18.489/4.1868</f>
        <v>4.416021782745773</v>
      </c>
      <c r="F69" s="10">
        <f t="shared" si="19"/>
        <v>0</v>
      </c>
      <c r="G69" s="12"/>
    </row>
    <row r="70" spans="1:7" ht="16.5">
      <c r="A70" s="4">
        <v>65</v>
      </c>
      <c r="B70" s="10">
        <f t="shared" si="17"/>
        <v>13.386</v>
      </c>
      <c r="C70" s="11">
        <f>13.386/4.1868</f>
        <v>3.1971911722556605</v>
      </c>
      <c r="D70" s="10">
        <f t="shared" si="18"/>
        <v>14.409</v>
      </c>
      <c r="E70" s="11">
        <f>14.409/4.1868</f>
        <v>3.4415305245055894</v>
      </c>
      <c r="F70" s="10">
        <f t="shared" si="19"/>
        <v>0.24433935224992887</v>
      </c>
      <c r="G70" s="12"/>
    </row>
    <row r="71" spans="1:7" ht="16.5">
      <c r="A71" s="4">
        <v>66</v>
      </c>
      <c r="B71" s="10">
        <f t="shared" si="17"/>
        <v>27.603</v>
      </c>
      <c r="C71" s="11">
        <f>27.603/4.1868</f>
        <v>6.592863284608771</v>
      </c>
      <c r="D71" s="10">
        <f t="shared" si="18"/>
        <v>27.603</v>
      </c>
      <c r="E71" s="11">
        <f>27.603/4.1868</f>
        <v>6.592863284608771</v>
      </c>
      <c r="F71" s="10">
        <f t="shared" si="19"/>
        <v>0</v>
      </c>
      <c r="G71" s="12"/>
    </row>
    <row r="72" spans="1:7" ht="16.5">
      <c r="A72" s="4">
        <v>67</v>
      </c>
      <c r="B72" s="10">
        <f t="shared" si="17"/>
        <v>60.624864</v>
      </c>
      <c r="C72" s="11">
        <v>14.48</v>
      </c>
      <c r="D72" s="10">
        <f t="shared" si="18"/>
        <v>61.822288799999995</v>
      </c>
      <c r="E72" s="11">
        <v>14.766</v>
      </c>
      <c r="F72" s="10">
        <f t="shared" si="19"/>
        <v>0.2859999999999996</v>
      </c>
      <c r="G72" s="12"/>
    </row>
    <row r="73" spans="1:7" ht="16.5">
      <c r="A73" s="4">
        <v>68</v>
      </c>
      <c r="B73" s="10">
        <f t="shared" si="17"/>
        <v>5.673114</v>
      </c>
      <c r="C73" s="11">
        <v>1.355</v>
      </c>
      <c r="D73" s="10">
        <f t="shared" si="18"/>
        <v>5.673114</v>
      </c>
      <c r="E73" s="11">
        <v>1.355</v>
      </c>
      <c r="F73" s="10">
        <f t="shared" si="19"/>
        <v>0</v>
      </c>
      <c r="G73" s="12"/>
    </row>
    <row r="74" spans="1:7" ht="16.5">
      <c r="A74" s="4">
        <v>69</v>
      </c>
      <c r="B74" s="10">
        <f t="shared" si="17"/>
        <v>76.918</v>
      </c>
      <c r="C74" s="11">
        <f>76.918/4.1868</f>
        <v>18.371548676793736</v>
      </c>
      <c r="D74" s="10">
        <f t="shared" si="18"/>
        <v>76.918</v>
      </c>
      <c r="E74" s="11">
        <f>76.918/4.1868</f>
        <v>18.371548676793736</v>
      </c>
      <c r="F74" s="10">
        <f t="shared" si="19"/>
        <v>0</v>
      </c>
      <c r="G74" s="12"/>
    </row>
    <row r="75" spans="1:7" ht="16.5">
      <c r="A75" s="4">
        <v>70</v>
      </c>
      <c r="B75" s="10">
        <f t="shared" si="17"/>
        <v>57.438</v>
      </c>
      <c r="C75" s="11">
        <f>57.438/4.1868</f>
        <v>13.718830610490112</v>
      </c>
      <c r="D75" s="10">
        <f t="shared" si="18"/>
        <v>57.457</v>
      </c>
      <c r="E75" s="11">
        <f>57.457/4.1868</f>
        <v>13.723368682526035</v>
      </c>
      <c r="F75" s="10">
        <f t="shared" si="19"/>
        <v>0.004538072035922269</v>
      </c>
      <c r="G75" s="12"/>
    </row>
    <row r="76" spans="1:7" ht="16.5">
      <c r="A76" s="4">
        <v>71</v>
      </c>
      <c r="B76" s="10">
        <f t="shared" si="17"/>
        <v>10.339</v>
      </c>
      <c r="C76" s="11">
        <f>10.339/4.1868</f>
        <v>2.4694277252316805</v>
      </c>
      <c r="D76" s="10">
        <f t="shared" si="18"/>
        <v>11.025</v>
      </c>
      <c r="E76" s="11">
        <f>11.025/4.1868</f>
        <v>2.6332760103181427</v>
      </c>
      <c r="F76" s="10">
        <f t="shared" si="19"/>
        <v>0.1638482850864622</v>
      </c>
      <c r="G76" s="12"/>
    </row>
    <row r="77" spans="1:7" ht="16.5">
      <c r="A77" s="4">
        <v>72</v>
      </c>
      <c r="B77" s="10">
        <f t="shared" si="17"/>
        <v>58.016068919999995</v>
      </c>
      <c r="C77" s="11">
        <v>13.8569</v>
      </c>
      <c r="D77" s="10">
        <f t="shared" si="18"/>
        <v>60.29285076</v>
      </c>
      <c r="E77" s="11">
        <v>14.4007</v>
      </c>
      <c r="F77" s="10">
        <f t="shared" si="19"/>
        <v>0.543800000000001</v>
      </c>
      <c r="G77" s="12"/>
    </row>
    <row r="78" spans="1:7" ht="16.5">
      <c r="A78" s="4">
        <v>73</v>
      </c>
      <c r="B78" s="10">
        <f t="shared" si="17"/>
        <v>7.103</v>
      </c>
      <c r="C78" s="11">
        <f>7.103/4.1868</f>
        <v>1.6965224037451037</v>
      </c>
      <c r="D78" s="10">
        <f t="shared" si="18"/>
        <v>7.246</v>
      </c>
      <c r="E78" s="11">
        <f>7.246/4.1868</f>
        <v>1.7306773669628357</v>
      </c>
      <c r="F78" s="10">
        <f t="shared" si="19"/>
        <v>0.03415496321773204</v>
      </c>
      <c r="G78" s="12"/>
    </row>
    <row r="79" spans="1:7" ht="16.5">
      <c r="A79" s="4">
        <v>74</v>
      </c>
      <c r="B79" s="10">
        <v>0</v>
      </c>
      <c r="C79" s="11" t="s">
        <v>13</v>
      </c>
      <c r="D79" s="10">
        <v>0</v>
      </c>
      <c r="E79" s="11" t="s">
        <v>13</v>
      </c>
      <c r="F79" s="10">
        <v>0</v>
      </c>
      <c r="G79" s="12">
        <v>0.594</v>
      </c>
    </row>
    <row r="80" spans="1:7" ht="16.5">
      <c r="A80" s="4">
        <v>75</v>
      </c>
      <c r="B80" s="10">
        <f aca="true" t="shared" si="20" ref="B80:B82">C80*4.1868</f>
        <v>40.457</v>
      </c>
      <c r="C80" s="11">
        <v>9.662988439858603</v>
      </c>
      <c r="D80" s="10">
        <v>0</v>
      </c>
      <c r="E80" s="11" t="s">
        <v>13</v>
      </c>
      <c r="F80" s="10">
        <v>0</v>
      </c>
      <c r="G80" s="12">
        <v>0.66</v>
      </c>
    </row>
    <row r="81" spans="1:7" ht="16.5">
      <c r="A81" s="4">
        <v>76</v>
      </c>
      <c r="B81" s="10">
        <f t="shared" si="20"/>
        <v>0.0334944</v>
      </c>
      <c r="C81" s="11">
        <v>0.008</v>
      </c>
      <c r="D81" s="10">
        <f aca="true" t="shared" si="21" ref="D81:D82">E81*4.1868</f>
        <v>0.0334944</v>
      </c>
      <c r="E81" s="11">
        <v>0.008</v>
      </c>
      <c r="F81" s="10">
        <f aca="true" t="shared" si="22" ref="F81:F96">E81-C81</f>
        <v>0</v>
      </c>
      <c r="G81" s="12"/>
    </row>
    <row r="82" spans="1:7" ht="16.5">
      <c r="A82" s="4">
        <v>77</v>
      </c>
      <c r="B82" s="10">
        <f t="shared" si="20"/>
        <v>52.258</v>
      </c>
      <c r="C82" s="11">
        <f>52.258/4.1868</f>
        <v>12.481608865959684</v>
      </c>
      <c r="D82" s="10">
        <f t="shared" si="21"/>
        <v>53.444</v>
      </c>
      <c r="E82" s="11">
        <f>53.444/4.1868</f>
        <v>12.764880099359894</v>
      </c>
      <c r="F82" s="10">
        <f t="shared" si="22"/>
        <v>0.2832712334002103</v>
      </c>
      <c r="G82" s="12"/>
    </row>
    <row r="83" spans="1:7" ht="16.5">
      <c r="A83" s="4">
        <v>78</v>
      </c>
      <c r="B83" s="10">
        <v>0</v>
      </c>
      <c r="C83" s="11">
        <v>0</v>
      </c>
      <c r="D83" s="10">
        <v>0</v>
      </c>
      <c r="E83" s="11">
        <v>0.213</v>
      </c>
      <c r="F83" s="10">
        <f t="shared" si="22"/>
        <v>0.213</v>
      </c>
      <c r="G83" s="12"/>
    </row>
    <row r="84" spans="1:7" ht="16.5">
      <c r="A84" s="4">
        <v>79</v>
      </c>
      <c r="B84" s="10">
        <f aca="true" t="shared" si="23" ref="B84:B88">C84*4.1868</f>
        <v>21.855</v>
      </c>
      <c r="C84" s="11">
        <f>21.855/4.1868</f>
        <v>5.219977070793924</v>
      </c>
      <c r="D84" s="10">
        <f aca="true" t="shared" si="24" ref="D84:D88">E84*4.1868</f>
        <v>28.87</v>
      </c>
      <c r="E84" s="11">
        <f>28.87/4.1868</f>
        <v>6.895481035635808</v>
      </c>
      <c r="F84" s="10">
        <f t="shared" si="22"/>
        <v>1.6755039648418846</v>
      </c>
      <c r="G84" s="12"/>
    </row>
    <row r="85" spans="1:7" ht="16.5">
      <c r="A85" s="4">
        <v>80</v>
      </c>
      <c r="B85" s="10">
        <f t="shared" si="23"/>
        <v>39.013</v>
      </c>
      <c r="C85" s="11">
        <f>39.013/4.1868</f>
        <v>9.318094965128498</v>
      </c>
      <c r="D85" s="10">
        <f t="shared" si="24"/>
        <v>39.013</v>
      </c>
      <c r="E85" s="11">
        <f>39.013/4.1868</f>
        <v>9.318094965128498</v>
      </c>
      <c r="F85" s="10">
        <f t="shared" si="22"/>
        <v>0</v>
      </c>
      <c r="G85" s="12"/>
    </row>
    <row r="86" spans="1:7" ht="16.5">
      <c r="A86" s="4">
        <v>81</v>
      </c>
      <c r="B86" s="10">
        <f t="shared" si="23"/>
        <v>139.209</v>
      </c>
      <c r="C86" s="11">
        <f>139.209/4.1868</f>
        <v>33.249498423617084</v>
      </c>
      <c r="D86" s="10">
        <f t="shared" si="24"/>
        <v>142.471</v>
      </c>
      <c r="E86" s="11">
        <f>142.471/4.1868</f>
        <v>34.02861373841598</v>
      </c>
      <c r="F86" s="10">
        <f t="shared" si="22"/>
        <v>0.7791153147988936</v>
      </c>
      <c r="G86" s="12"/>
    </row>
    <row r="87" spans="1:7" ht="16.5">
      <c r="A87" s="4">
        <v>82</v>
      </c>
      <c r="B87" s="10">
        <f t="shared" si="23"/>
        <v>225.473</v>
      </c>
      <c r="C87" s="11">
        <f>225.473/4.1868</f>
        <v>53.8533008502914</v>
      </c>
      <c r="D87" s="10">
        <f t="shared" si="24"/>
        <v>225.473</v>
      </c>
      <c r="E87" s="11">
        <f>225.473/4.1868</f>
        <v>53.8533008502914</v>
      </c>
      <c r="F87" s="10">
        <f t="shared" si="22"/>
        <v>0</v>
      </c>
      <c r="G87" s="12"/>
    </row>
    <row r="88" spans="1:7" ht="16.5">
      <c r="A88" s="4">
        <v>83</v>
      </c>
      <c r="B88" s="10">
        <f t="shared" si="23"/>
        <v>35.937</v>
      </c>
      <c r="C88" s="11">
        <f>35.937/4.1868</f>
        <v>8.583404987102321</v>
      </c>
      <c r="D88" s="10">
        <f t="shared" si="24"/>
        <v>36.12299999999999</v>
      </c>
      <c r="E88" s="11">
        <f>36.123/4.1868</f>
        <v>8.627830323875035</v>
      </c>
      <c r="F88" s="10">
        <f t="shared" si="22"/>
        <v>0.04442533677271321</v>
      </c>
      <c r="G88" s="12"/>
    </row>
    <row r="89" spans="1:7" ht="16.5">
      <c r="A89" s="4">
        <v>84</v>
      </c>
      <c r="B89" s="10">
        <v>0</v>
      </c>
      <c r="C89" s="11">
        <f>11.263/4.1868</f>
        <v>2.690121333715487</v>
      </c>
      <c r="D89" s="10">
        <v>0</v>
      </c>
      <c r="E89" s="11">
        <f>11.845/4.1868</f>
        <v>2.8291296455526895</v>
      </c>
      <c r="F89" s="10">
        <f t="shared" si="22"/>
        <v>0.13900831183720275</v>
      </c>
      <c r="G89" s="12"/>
    </row>
    <row r="90" spans="1:7" ht="16.5">
      <c r="A90" s="4">
        <v>85</v>
      </c>
      <c r="B90" s="10">
        <f aca="true" t="shared" si="25" ref="B90:B96">C90*4.1868</f>
        <v>44.709</v>
      </c>
      <c r="C90" s="11">
        <f>44.709/4.1868</f>
        <v>10.678561192318718</v>
      </c>
      <c r="D90" s="10">
        <f aca="true" t="shared" si="26" ref="D90:D96">E90*4.1868</f>
        <v>44.709</v>
      </c>
      <c r="E90" s="11">
        <f>44.709/4.1868</f>
        <v>10.678561192318718</v>
      </c>
      <c r="F90" s="10">
        <f t="shared" si="22"/>
        <v>0</v>
      </c>
      <c r="G90" s="12"/>
    </row>
    <row r="91" spans="1:7" ht="16.5">
      <c r="A91" s="4">
        <v>86</v>
      </c>
      <c r="B91" s="10">
        <f t="shared" si="25"/>
        <v>33.959</v>
      </c>
      <c r="C91" s="11">
        <f>33.959/4.1868</f>
        <v>8.110967803573136</v>
      </c>
      <c r="D91" s="10">
        <f t="shared" si="26"/>
        <v>33.972</v>
      </c>
      <c r="E91" s="11">
        <f>33.972/4.1868</f>
        <v>8.114072800229293</v>
      </c>
      <c r="F91" s="10">
        <f t="shared" si="22"/>
        <v>0.003104996656157155</v>
      </c>
      <c r="G91" s="12"/>
    </row>
    <row r="92" spans="1:7" ht="16.5">
      <c r="A92" s="4">
        <v>87</v>
      </c>
      <c r="B92" s="10">
        <f t="shared" si="25"/>
        <v>41.629</v>
      </c>
      <c r="C92" s="11">
        <f>41.629/4.1868</f>
        <v>9.942915830706028</v>
      </c>
      <c r="D92" s="10">
        <f t="shared" si="26"/>
        <v>41.629</v>
      </c>
      <c r="E92" s="11">
        <f>41.629/4.1868</f>
        <v>9.942915830706028</v>
      </c>
      <c r="F92" s="10">
        <f t="shared" si="22"/>
        <v>0</v>
      </c>
      <c r="G92" s="12"/>
    </row>
    <row r="93" spans="1:7" ht="16.5">
      <c r="A93" s="4">
        <v>88</v>
      </c>
      <c r="B93" s="10">
        <f t="shared" si="25"/>
        <v>19.824999999999996</v>
      </c>
      <c r="C93" s="11">
        <f>19.825/4.1868</f>
        <v>4.735119900640107</v>
      </c>
      <c r="D93" s="10">
        <f t="shared" si="26"/>
        <v>21.296</v>
      </c>
      <c r="E93" s="11">
        <f>21.296/4.1868</f>
        <v>5.086462214579154</v>
      </c>
      <c r="F93" s="10">
        <f t="shared" si="22"/>
        <v>0.351342313939047</v>
      </c>
      <c r="G93" s="12"/>
    </row>
    <row r="94" spans="1:7" ht="16.5">
      <c r="A94" s="4">
        <v>89</v>
      </c>
      <c r="B94" s="10">
        <f t="shared" si="25"/>
        <v>144.801</v>
      </c>
      <c r="C94" s="11">
        <f>144.801/4.1868</f>
        <v>34.585124677558035</v>
      </c>
      <c r="D94" s="10">
        <f t="shared" si="26"/>
        <v>146.966</v>
      </c>
      <c r="E94" s="11">
        <f>146.966/4.1868</f>
        <v>35.10222604375657</v>
      </c>
      <c r="F94" s="10">
        <f t="shared" si="22"/>
        <v>0.5171013661985384</v>
      </c>
      <c r="G94" s="12"/>
    </row>
    <row r="95" spans="1:7" ht="16.5">
      <c r="A95" s="4">
        <v>90</v>
      </c>
      <c r="B95" s="10">
        <f t="shared" si="25"/>
        <v>15.512094</v>
      </c>
      <c r="C95" s="11">
        <v>3.705</v>
      </c>
      <c r="D95" s="10">
        <f t="shared" si="26"/>
        <v>16.9607268</v>
      </c>
      <c r="E95" s="11">
        <v>4.051</v>
      </c>
      <c r="F95" s="10">
        <f t="shared" si="22"/>
        <v>0.3460000000000001</v>
      </c>
      <c r="G95" s="12"/>
    </row>
    <row r="96" spans="1:7" ht="16.5">
      <c r="A96" s="4">
        <v>91</v>
      </c>
      <c r="B96" s="10">
        <f t="shared" si="25"/>
        <v>105.105</v>
      </c>
      <c r="C96" s="11">
        <f>105.105/4.1868</f>
        <v>25.103897965032964</v>
      </c>
      <c r="D96" s="10">
        <f t="shared" si="26"/>
        <v>105.105</v>
      </c>
      <c r="E96" s="11">
        <f>105.105/4.1868</f>
        <v>25.103897965032964</v>
      </c>
      <c r="F96" s="10">
        <f t="shared" si="22"/>
        <v>0</v>
      </c>
      <c r="G96" s="12"/>
    </row>
    <row r="97" spans="1:7" ht="16.5">
      <c r="A97" s="4">
        <v>92</v>
      </c>
      <c r="B97" s="10">
        <v>0</v>
      </c>
      <c r="C97" s="11" t="s">
        <v>13</v>
      </c>
      <c r="D97" s="10">
        <v>0</v>
      </c>
      <c r="E97" s="11" t="s">
        <v>13</v>
      </c>
      <c r="F97" s="10">
        <v>0</v>
      </c>
      <c r="G97" s="12">
        <v>0.597</v>
      </c>
    </row>
    <row r="98" spans="1:7" ht="16.5">
      <c r="A98" s="4">
        <v>93</v>
      </c>
      <c r="B98" s="10">
        <v>0</v>
      </c>
      <c r="C98" s="11" t="s">
        <v>13</v>
      </c>
      <c r="D98" s="10">
        <v>0</v>
      </c>
      <c r="E98" s="11" t="s">
        <v>13</v>
      </c>
      <c r="F98" s="10">
        <v>0</v>
      </c>
      <c r="G98" s="12">
        <v>0.665</v>
      </c>
    </row>
    <row r="99" spans="1:7" ht="16.5">
      <c r="A99" s="4">
        <v>94</v>
      </c>
      <c r="B99" s="10">
        <f>C99*4.1868</f>
        <v>33.705</v>
      </c>
      <c r="C99" s="11">
        <v>8.05030094582975</v>
      </c>
      <c r="D99" s="10">
        <f>E99*4.1868</f>
        <v>33.705</v>
      </c>
      <c r="E99" s="11">
        <v>8.05030094582975</v>
      </c>
      <c r="F99" s="10">
        <f>E99-C99</f>
        <v>0</v>
      </c>
      <c r="G99" s="12"/>
    </row>
    <row r="100" spans="1:7" ht="16.5">
      <c r="A100" s="4">
        <v>95</v>
      </c>
      <c r="B100" s="10">
        <v>0</v>
      </c>
      <c r="C100" s="11" t="s">
        <v>12</v>
      </c>
      <c r="D100" s="10">
        <v>0</v>
      </c>
      <c r="E100" s="11" t="s">
        <v>12</v>
      </c>
      <c r="F100" s="10">
        <v>0</v>
      </c>
      <c r="G100" s="12">
        <v>0.599</v>
      </c>
    </row>
    <row r="101" spans="1:7" ht="16.5">
      <c r="A101" s="4">
        <v>96</v>
      </c>
      <c r="B101" s="10">
        <f aca="true" t="shared" si="27" ref="B101:B105">C101*4.1868</f>
        <v>31.11</v>
      </c>
      <c r="C101" s="11">
        <v>7.430495844081399</v>
      </c>
      <c r="D101" s="10">
        <f aca="true" t="shared" si="28" ref="D101:D105">E101*4.1868</f>
        <v>32.181</v>
      </c>
      <c r="E101" s="11">
        <f>32.181/4.1868</f>
        <v>7.686299799369446</v>
      </c>
      <c r="F101" s="10">
        <f aca="true" t="shared" si="29" ref="F101:F105">E101-C101</f>
        <v>0.2558039552880471</v>
      </c>
      <c r="G101" s="12"/>
    </row>
    <row r="102" spans="1:7" ht="16.5">
      <c r="A102" s="4">
        <v>97</v>
      </c>
      <c r="B102" s="10">
        <f t="shared" si="27"/>
        <v>30.596</v>
      </c>
      <c r="C102" s="11">
        <v>7.307729053214866</v>
      </c>
      <c r="D102" s="10">
        <f t="shared" si="28"/>
        <v>30.596</v>
      </c>
      <c r="E102" s="11">
        <v>7.307729053214866</v>
      </c>
      <c r="F102" s="10">
        <f t="shared" si="29"/>
        <v>0</v>
      </c>
      <c r="G102" s="12"/>
    </row>
    <row r="103" spans="1:7" ht="16.5">
      <c r="A103" s="4">
        <v>98</v>
      </c>
      <c r="B103" s="10">
        <f t="shared" si="27"/>
        <v>131.519</v>
      </c>
      <c r="C103" s="11">
        <f>131.519/4.1868</f>
        <v>31.412773478551642</v>
      </c>
      <c r="D103" s="10">
        <f t="shared" si="28"/>
        <v>137.579</v>
      </c>
      <c r="E103" s="11">
        <f>137.579/4.1868</f>
        <v>32.860179612114266</v>
      </c>
      <c r="F103" s="10">
        <f t="shared" si="29"/>
        <v>1.4474061335626232</v>
      </c>
      <c r="G103" s="12"/>
    </row>
    <row r="104" spans="1:7" ht="16.5">
      <c r="A104" s="4">
        <v>99</v>
      </c>
      <c r="B104" s="10">
        <f t="shared" si="27"/>
        <v>19.4518728</v>
      </c>
      <c r="C104" s="11">
        <v>4.646</v>
      </c>
      <c r="D104" s="10">
        <f t="shared" si="28"/>
        <v>19.4518728</v>
      </c>
      <c r="E104" s="11">
        <v>4.646</v>
      </c>
      <c r="F104" s="10">
        <f t="shared" si="29"/>
        <v>0</v>
      </c>
      <c r="G104" s="12"/>
    </row>
    <row r="105" spans="1:7" ht="16.5">
      <c r="A105" s="4">
        <v>100</v>
      </c>
      <c r="B105" s="10">
        <f t="shared" si="27"/>
        <v>17.764</v>
      </c>
      <c r="C105" s="11">
        <f>17.764/4.1868</f>
        <v>4.242858507690838</v>
      </c>
      <c r="D105" s="10">
        <f t="shared" si="28"/>
        <v>18.975999999999996</v>
      </c>
      <c r="E105" s="11">
        <f>18.976/4.1868</f>
        <v>4.5323397344033625</v>
      </c>
      <c r="F105" s="10">
        <f t="shared" si="29"/>
        <v>0.28948122671252463</v>
      </c>
      <c r="G105" s="12"/>
    </row>
    <row r="106" spans="1:7" ht="16.5">
      <c r="A106" s="4">
        <v>101</v>
      </c>
      <c r="B106" s="10">
        <v>0</v>
      </c>
      <c r="C106" s="11" t="s">
        <v>12</v>
      </c>
      <c r="D106" s="10">
        <v>0</v>
      </c>
      <c r="E106" s="11" t="s">
        <v>12</v>
      </c>
      <c r="F106" s="10">
        <v>0</v>
      </c>
      <c r="G106" s="12">
        <v>0.5690000000000001</v>
      </c>
    </row>
    <row r="107" spans="1:7" ht="16.5">
      <c r="A107" s="4">
        <v>102</v>
      </c>
      <c r="B107" s="10">
        <v>0</v>
      </c>
      <c r="C107" s="11" t="s">
        <v>13</v>
      </c>
      <c r="D107" s="10">
        <v>0</v>
      </c>
      <c r="E107" s="11" t="s">
        <v>13</v>
      </c>
      <c r="F107" s="10">
        <v>0</v>
      </c>
      <c r="G107" s="12">
        <v>0.66</v>
      </c>
    </row>
    <row r="108" spans="1:7" ht="16.5">
      <c r="A108" s="4">
        <v>103</v>
      </c>
      <c r="B108" s="10">
        <f aca="true" t="shared" si="30" ref="B108:B113">C108*4.1868</f>
        <v>32.733</v>
      </c>
      <c r="C108" s="11">
        <v>7.818142734307824</v>
      </c>
      <c r="D108" s="10">
        <f aca="true" t="shared" si="31" ref="D108:D113">E108*4.1868</f>
        <v>32.733</v>
      </c>
      <c r="E108" s="11">
        <v>7.818142734307824</v>
      </c>
      <c r="F108" s="10">
        <f aca="true" t="shared" si="32" ref="F108:F113">E108-C108</f>
        <v>0</v>
      </c>
      <c r="G108" s="12"/>
    </row>
    <row r="109" spans="1:7" ht="16.5">
      <c r="A109" s="4">
        <v>104</v>
      </c>
      <c r="B109" s="10">
        <f t="shared" si="30"/>
        <v>32.066</v>
      </c>
      <c r="C109" s="11">
        <f>32.066/4.1868</f>
        <v>7.658832521257286</v>
      </c>
      <c r="D109" s="10">
        <f t="shared" si="31"/>
        <v>32.077</v>
      </c>
      <c r="E109" s="11">
        <f>32.077/4.1868</f>
        <v>7.661459826120187</v>
      </c>
      <c r="F109" s="10">
        <f t="shared" si="32"/>
        <v>0.002627304862901525</v>
      </c>
      <c r="G109" s="12"/>
    </row>
    <row r="110" spans="1:7" ht="16.5">
      <c r="A110" s="4">
        <v>105</v>
      </c>
      <c r="B110" s="10">
        <f t="shared" si="30"/>
        <v>11.269</v>
      </c>
      <c r="C110" s="11">
        <f>11.269/4.1868</f>
        <v>2.691554409095252</v>
      </c>
      <c r="D110" s="10">
        <f t="shared" si="31"/>
        <v>11.516</v>
      </c>
      <c r="E110" s="11">
        <f>11.516/4.1868</f>
        <v>2.750549345562243</v>
      </c>
      <c r="F110" s="10">
        <f t="shared" si="32"/>
        <v>0.05899493646699128</v>
      </c>
      <c r="G110" s="12"/>
    </row>
    <row r="111" spans="1:7" ht="16.5">
      <c r="A111" s="4">
        <v>106</v>
      </c>
      <c r="B111" s="10">
        <f t="shared" si="30"/>
        <v>52.728</v>
      </c>
      <c r="C111" s="11">
        <f>52.728/4.1868</f>
        <v>12.593866437374606</v>
      </c>
      <c r="D111" s="10">
        <f t="shared" si="31"/>
        <v>54.376</v>
      </c>
      <c r="E111" s="11">
        <f>54.376/4.1868</f>
        <v>12.98748447501672</v>
      </c>
      <c r="F111" s="10">
        <f t="shared" si="32"/>
        <v>0.39361803764211345</v>
      </c>
      <c r="G111" s="12"/>
    </row>
    <row r="112" spans="1:7" ht="16.5">
      <c r="A112" s="4">
        <v>107</v>
      </c>
      <c r="B112" s="10">
        <f t="shared" si="30"/>
        <v>52.803921599999995</v>
      </c>
      <c r="C112" s="11">
        <v>12.612</v>
      </c>
      <c r="D112" s="10">
        <f t="shared" si="31"/>
        <v>54.25674119999999</v>
      </c>
      <c r="E112" s="11">
        <v>12.959</v>
      </c>
      <c r="F112" s="10">
        <f t="shared" si="32"/>
        <v>0.34699999999999953</v>
      </c>
      <c r="G112" s="12"/>
    </row>
    <row r="113" spans="1:7" ht="16.5">
      <c r="A113" s="4">
        <v>108</v>
      </c>
      <c r="B113" s="10">
        <f t="shared" si="30"/>
        <v>14.9287</v>
      </c>
      <c r="C113" s="11">
        <f>14.9287/4.1868</f>
        <v>3.5656587369828987</v>
      </c>
      <c r="D113" s="10">
        <f t="shared" si="31"/>
        <v>15.2443</v>
      </c>
      <c r="E113" s="11">
        <f>15.2443/4.1868</f>
        <v>3.6410385019585365</v>
      </c>
      <c r="F113" s="10">
        <f t="shared" si="32"/>
        <v>0.07537976497563781</v>
      </c>
      <c r="G113" s="12"/>
    </row>
    <row r="114" spans="1:7" ht="16.5">
      <c r="A114" s="4">
        <v>109</v>
      </c>
      <c r="B114" s="10">
        <v>0</v>
      </c>
      <c r="C114" s="11" t="s">
        <v>12</v>
      </c>
      <c r="D114" s="10">
        <v>0</v>
      </c>
      <c r="E114" s="11" t="s">
        <v>12</v>
      </c>
      <c r="F114" s="10">
        <v>0</v>
      </c>
      <c r="G114" s="12">
        <v>0.5700000000000001</v>
      </c>
    </row>
    <row r="115" spans="1:7" ht="16.5">
      <c r="A115" s="4">
        <v>110</v>
      </c>
      <c r="B115" s="10">
        <f aca="true" t="shared" si="33" ref="B115:B120">C115*4.1868</f>
        <v>28.887</v>
      </c>
      <c r="C115" s="11">
        <v>6.899541415878476</v>
      </c>
      <c r="D115" s="10">
        <f aca="true" t="shared" si="34" ref="D115:D120">E115*4.1868</f>
        <v>28.887</v>
      </c>
      <c r="E115" s="11">
        <v>6.899541415878476</v>
      </c>
      <c r="F115" s="10">
        <f aca="true" t="shared" si="35" ref="F115:F118">E115-C115</f>
        <v>0</v>
      </c>
      <c r="G115" s="12"/>
    </row>
    <row r="116" spans="1:7" ht="16.5">
      <c r="A116" s="4">
        <v>111</v>
      </c>
      <c r="B116" s="10">
        <f t="shared" si="33"/>
        <v>15.83950176</v>
      </c>
      <c r="C116" s="11">
        <v>3.7832</v>
      </c>
      <c r="D116" s="10">
        <f t="shared" si="34"/>
        <v>16.950259799999998</v>
      </c>
      <c r="E116" s="11">
        <v>4.0485</v>
      </c>
      <c r="F116" s="10">
        <f t="shared" si="35"/>
        <v>0.26529999999999987</v>
      </c>
      <c r="G116" s="12"/>
    </row>
    <row r="117" spans="1:7" ht="16.5">
      <c r="A117" s="4">
        <v>112</v>
      </c>
      <c r="B117" s="10">
        <f t="shared" si="33"/>
        <v>25.49</v>
      </c>
      <c r="C117" s="11">
        <f>25.49/4.1868</f>
        <v>6.0881819050348716</v>
      </c>
      <c r="D117" s="10">
        <f t="shared" si="34"/>
        <v>25.49</v>
      </c>
      <c r="E117" s="11">
        <f>25.49/4.1868</f>
        <v>6.0881819050348716</v>
      </c>
      <c r="F117" s="10">
        <f t="shared" si="35"/>
        <v>0</v>
      </c>
      <c r="G117" s="12"/>
    </row>
    <row r="118" spans="1:7" ht="16.5">
      <c r="A118" s="4">
        <v>113</v>
      </c>
      <c r="B118" s="10">
        <f t="shared" si="33"/>
        <v>1.27</v>
      </c>
      <c r="C118" s="11">
        <f>1.27/4.1868</f>
        <v>0.30333428871691986</v>
      </c>
      <c r="D118" s="10">
        <f t="shared" si="34"/>
        <v>1.287</v>
      </c>
      <c r="E118" s="11">
        <f>1.287/4.1868</f>
        <v>0.3073946689595873</v>
      </c>
      <c r="F118" s="10">
        <f t="shared" si="35"/>
        <v>0.004060380242667416</v>
      </c>
      <c r="G118" s="12"/>
    </row>
    <row r="119" spans="1:7" ht="16.5">
      <c r="A119" s="4">
        <v>114</v>
      </c>
      <c r="B119" s="10" t="e">
        <f t="shared" si="33"/>
        <v>#VALUE!</v>
      </c>
      <c r="C119" s="11" t="s">
        <v>13</v>
      </c>
      <c r="D119" s="10" t="e">
        <f t="shared" si="34"/>
        <v>#VALUE!</v>
      </c>
      <c r="E119" s="11" t="s">
        <v>13</v>
      </c>
      <c r="F119" s="10">
        <v>0</v>
      </c>
      <c r="G119" s="12">
        <v>0.98</v>
      </c>
    </row>
    <row r="120" spans="1:7" ht="16.5">
      <c r="A120" s="4">
        <v>115</v>
      </c>
      <c r="B120" s="10">
        <f t="shared" si="33"/>
        <v>12.745</v>
      </c>
      <c r="C120" s="11">
        <f>12.745/4.1868</f>
        <v>3.0440909525174358</v>
      </c>
      <c r="D120" s="10">
        <f t="shared" si="34"/>
        <v>12.85</v>
      </c>
      <c r="E120" s="11">
        <f>12.85/4.1868</f>
        <v>3.069169771663323</v>
      </c>
      <c r="F120" s="10">
        <f>E120-C120</f>
        <v>0.025078819145887277</v>
      </c>
      <c r="G120" s="12"/>
    </row>
    <row r="121" spans="1:7" ht="16.5">
      <c r="A121" s="4">
        <v>116</v>
      </c>
      <c r="B121" s="10">
        <v>0</v>
      </c>
      <c r="C121" s="11" t="s">
        <v>13</v>
      </c>
      <c r="D121" s="10">
        <v>0</v>
      </c>
      <c r="E121" s="11" t="s">
        <v>13</v>
      </c>
      <c r="F121" s="10">
        <v>0</v>
      </c>
      <c r="G121" s="12">
        <v>1.259</v>
      </c>
    </row>
    <row r="122" spans="1:7" ht="16.5">
      <c r="A122" s="4">
        <v>117</v>
      </c>
      <c r="B122" s="10">
        <f aca="true" t="shared" si="36" ref="B122:B124">C122*4.1868</f>
        <v>69.14374596</v>
      </c>
      <c r="C122" s="11">
        <v>16.5147</v>
      </c>
      <c r="D122" s="10">
        <f aca="true" t="shared" si="37" ref="D122:D124">E122*4.1868</f>
        <v>72.75904776</v>
      </c>
      <c r="E122" s="11">
        <v>17.3782</v>
      </c>
      <c r="F122" s="10">
        <f aca="true" t="shared" si="38" ref="F122:F125">E122-C122</f>
        <v>0.8634999999999984</v>
      </c>
      <c r="G122" s="12"/>
    </row>
    <row r="123" spans="1:7" ht="16.5">
      <c r="A123" s="4">
        <v>118</v>
      </c>
      <c r="B123" s="10">
        <f t="shared" si="36"/>
        <v>17.96</v>
      </c>
      <c r="C123" s="11">
        <v>4.289672303429827</v>
      </c>
      <c r="D123" s="10">
        <f t="shared" si="37"/>
        <v>17.96</v>
      </c>
      <c r="E123" s="11">
        <v>4.289672303429827</v>
      </c>
      <c r="F123" s="10">
        <f t="shared" si="38"/>
        <v>0</v>
      </c>
      <c r="G123" s="12"/>
    </row>
    <row r="124" spans="1:7" ht="16.5">
      <c r="A124" s="4">
        <v>119</v>
      </c>
      <c r="B124" s="10">
        <f t="shared" si="36"/>
        <v>17.784</v>
      </c>
      <c r="C124" s="11">
        <f>17.784/4.1868</f>
        <v>4.247635425623388</v>
      </c>
      <c r="D124" s="10">
        <f t="shared" si="37"/>
        <v>18.064</v>
      </c>
      <c r="E124" s="11">
        <f>18.064/4.1868</f>
        <v>4.314512276679086</v>
      </c>
      <c r="F124" s="10">
        <f t="shared" si="38"/>
        <v>0.06687685105569852</v>
      </c>
      <c r="G124" s="12"/>
    </row>
    <row r="125" spans="1:7" ht="16.5">
      <c r="A125" s="4">
        <v>120</v>
      </c>
      <c r="B125" s="10">
        <v>0</v>
      </c>
      <c r="C125" s="11">
        <v>1.6968</v>
      </c>
      <c r="D125" s="10">
        <v>0</v>
      </c>
      <c r="E125" s="11">
        <v>2.1351</v>
      </c>
      <c r="F125" s="10">
        <f t="shared" si="38"/>
        <v>0.4382999999999999</v>
      </c>
      <c r="G125" s="12"/>
    </row>
    <row r="126" spans="1:7" ht="16.5">
      <c r="A126" s="4">
        <v>121</v>
      </c>
      <c r="B126" s="10">
        <v>0</v>
      </c>
      <c r="C126" s="11" t="s">
        <v>12</v>
      </c>
      <c r="D126" s="10">
        <v>0</v>
      </c>
      <c r="E126" s="11" t="s">
        <v>12</v>
      </c>
      <c r="F126" s="10">
        <v>0</v>
      </c>
      <c r="G126" s="12">
        <v>0.602</v>
      </c>
    </row>
    <row r="127" spans="1:7" ht="16.5">
      <c r="A127" s="4">
        <v>122</v>
      </c>
      <c r="B127" s="10">
        <f aca="true" t="shared" si="39" ref="B127:B137">C127*4.1868</f>
        <v>12.319</v>
      </c>
      <c r="C127" s="11">
        <f>12.319/4.1868</f>
        <v>2.942342600554123</v>
      </c>
      <c r="D127" s="10">
        <v>0</v>
      </c>
      <c r="E127" s="11" t="s">
        <v>13</v>
      </c>
      <c r="F127" s="10">
        <v>0</v>
      </c>
      <c r="G127" s="12">
        <v>0.599</v>
      </c>
    </row>
    <row r="128" spans="1:7" ht="16.5">
      <c r="A128" s="4">
        <v>123</v>
      </c>
      <c r="B128" s="10">
        <f t="shared" si="39"/>
        <v>1.7375219999999998</v>
      </c>
      <c r="C128" s="11">
        <v>0.415</v>
      </c>
      <c r="D128" s="10">
        <f aca="true" t="shared" si="40" ref="D128:D137">E128*4.1868</f>
        <v>2.1017736</v>
      </c>
      <c r="E128" s="11">
        <v>0.502</v>
      </c>
      <c r="F128" s="10">
        <f aca="true" t="shared" si="41" ref="F128:F142">E128-C128</f>
        <v>0.08700000000000002</v>
      </c>
      <c r="G128" s="12"/>
    </row>
    <row r="129" spans="1:7" ht="16.5">
      <c r="A129" s="4">
        <v>124</v>
      </c>
      <c r="B129" s="10">
        <f t="shared" si="39"/>
        <v>0</v>
      </c>
      <c r="C129" s="11">
        <v>0</v>
      </c>
      <c r="D129" s="10">
        <f t="shared" si="40"/>
        <v>0</v>
      </c>
      <c r="E129" s="11">
        <v>0</v>
      </c>
      <c r="F129" s="10">
        <f t="shared" si="41"/>
        <v>0</v>
      </c>
      <c r="G129" s="12">
        <v>0.545</v>
      </c>
    </row>
    <row r="130" spans="1:7" ht="16.5">
      <c r="A130" s="4">
        <v>125</v>
      </c>
      <c r="B130" s="10">
        <f t="shared" si="39"/>
        <v>64.418</v>
      </c>
      <c r="C130" s="11">
        <f>64.418/4.1868</f>
        <v>15.385974968950036</v>
      </c>
      <c r="D130" s="10">
        <f t="shared" si="40"/>
        <v>69.17</v>
      </c>
      <c r="E130" s="11">
        <f>69.17/4.1868</f>
        <v>16.520970669723894</v>
      </c>
      <c r="F130" s="10">
        <f t="shared" si="41"/>
        <v>1.1349957007738585</v>
      </c>
      <c r="G130" s="12"/>
    </row>
    <row r="131" spans="1:7" ht="16.5">
      <c r="A131" s="4">
        <v>126</v>
      </c>
      <c r="B131" s="10">
        <f t="shared" si="39"/>
        <v>30.389887799999997</v>
      </c>
      <c r="C131" s="11">
        <v>7.2585</v>
      </c>
      <c r="D131" s="10">
        <f t="shared" si="40"/>
        <v>30.98232</v>
      </c>
      <c r="E131" s="11">
        <v>7.4</v>
      </c>
      <c r="F131" s="10">
        <f t="shared" si="41"/>
        <v>0.14150000000000063</v>
      </c>
      <c r="G131" s="12"/>
    </row>
    <row r="132" spans="1:7" ht="16.5">
      <c r="A132" s="4">
        <v>127</v>
      </c>
      <c r="B132" s="10">
        <f t="shared" si="39"/>
        <v>36.291</v>
      </c>
      <c r="C132" s="11">
        <v>8.667956434508454</v>
      </c>
      <c r="D132" s="10">
        <f t="shared" si="40"/>
        <v>36.291</v>
      </c>
      <c r="E132" s="11">
        <v>8.667956434508454</v>
      </c>
      <c r="F132" s="10">
        <f t="shared" si="41"/>
        <v>0</v>
      </c>
      <c r="G132" s="12"/>
    </row>
    <row r="133" spans="1:7" ht="16.5">
      <c r="A133" s="4">
        <v>128</v>
      </c>
      <c r="B133" s="10">
        <f t="shared" si="39"/>
        <v>46.30400000000001</v>
      </c>
      <c r="C133" s="11">
        <f>46.304/4.1868</f>
        <v>11.059520397439574</v>
      </c>
      <c r="D133" s="10">
        <f t="shared" si="40"/>
        <v>48.61</v>
      </c>
      <c r="E133" s="11">
        <f>48.61/4.1868</f>
        <v>11.610299035062578</v>
      </c>
      <c r="F133" s="10">
        <f t="shared" si="41"/>
        <v>0.5507786376230044</v>
      </c>
      <c r="G133" s="12"/>
    </row>
    <row r="134" spans="1:7" ht="16.5">
      <c r="A134" s="4">
        <v>129</v>
      </c>
      <c r="B134" s="10">
        <f t="shared" si="39"/>
        <v>25.1208</v>
      </c>
      <c r="C134" s="11">
        <v>6</v>
      </c>
      <c r="D134" s="10">
        <f t="shared" si="40"/>
        <v>25.95816</v>
      </c>
      <c r="E134" s="11">
        <v>6.2</v>
      </c>
      <c r="F134" s="10">
        <f t="shared" si="41"/>
        <v>0.20000000000000018</v>
      </c>
      <c r="G134" s="12"/>
    </row>
    <row r="135" spans="1:7" ht="16.5">
      <c r="A135" s="4">
        <v>130</v>
      </c>
      <c r="B135" s="10">
        <f t="shared" si="39"/>
        <v>28.025</v>
      </c>
      <c r="C135" s="11">
        <f>28.025/4.1868</f>
        <v>6.693656252985574</v>
      </c>
      <c r="D135" s="10">
        <f t="shared" si="40"/>
        <v>28.699</v>
      </c>
      <c r="E135" s="11">
        <f>28.699/4.1868</f>
        <v>6.854638387312507</v>
      </c>
      <c r="F135" s="10">
        <f t="shared" si="41"/>
        <v>0.1609821343269333</v>
      </c>
      <c r="G135" s="12"/>
    </row>
    <row r="136" spans="1:7" ht="16.5">
      <c r="A136" s="4">
        <v>131</v>
      </c>
      <c r="B136" s="10">
        <f t="shared" si="39"/>
        <v>36.459</v>
      </c>
      <c r="C136" s="11">
        <f>36.459/4.1868</f>
        <v>8.708082545141876</v>
      </c>
      <c r="D136" s="10">
        <f t="shared" si="40"/>
        <v>36.459</v>
      </c>
      <c r="E136" s="11">
        <f>36.459/4.1868</f>
        <v>8.708082545141876</v>
      </c>
      <c r="F136" s="10">
        <f t="shared" si="41"/>
        <v>0</v>
      </c>
      <c r="G136" s="12"/>
    </row>
    <row r="137" spans="1:7" ht="16.5">
      <c r="A137" s="4">
        <v>132</v>
      </c>
      <c r="B137" s="10">
        <f t="shared" si="39"/>
        <v>24.94</v>
      </c>
      <c r="C137" s="11">
        <f>24.94/4.1868</f>
        <v>5.956816661889749</v>
      </c>
      <c r="D137" s="10">
        <f t="shared" si="40"/>
        <v>24.94</v>
      </c>
      <c r="E137" s="11">
        <f>24.94/4.1868</f>
        <v>5.956816661889749</v>
      </c>
      <c r="F137" s="10">
        <f t="shared" si="41"/>
        <v>0</v>
      </c>
      <c r="G137" s="12"/>
    </row>
    <row r="138" spans="1:7" ht="16.5">
      <c r="A138" s="4">
        <v>133</v>
      </c>
      <c r="B138" s="10">
        <v>0</v>
      </c>
      <c r="C138" s="11">
        <v>0.705</v>
      </c>
      <c r="D138" s="10">
        <v>0</v>
      </c>
      <c r="E138" s="11">
        <v>0.705</v>
      </c>
      <c r="F138" s="10">
        <f t="shared" si="41"/>
        <v>0</v>
      </c>
      <c r="G138" s="12"/>
    </row>
    <row r="139" spans="1:7" ht="16.5">
      <c r="A139" s="4">
        <v>134</v>
      </c>
      <c r="B139" s="10">
        <f aca="true" t="shared" si="42" ref="B139:B141">C139*4.1868</f>
        <v>42.642558</v>
      </c>
      <c r="C139" s="11">
        <v>10.185</v>
      </c>
      <c r="D139" s="10">
        <f aca="true" t="shared" si="43" ref="D139:D141">E139*4.1868</f>
        <v>45.4351536</v>
      </c>
      <c r="E139" s="11">
        <v>10.852</v>
      </c>
      <c r="F139" s="10">
        <f t="shared" si="41"/>
        <v>0.6669999999999998</v>
      </c>
      <c r="G139" s="12"/>
    </row>
    <row r="140" spans="1:7" ht="16.5">
      <c r="A140" s="4">
        <v>135</v>
      </c>
      <c r="B140" s="10">
        <f t="shared" si="42"/>
        <v>30.528889559999996</v>
      </c>
      <c r="C140" s="11">
        <v>7.2917</v>
      </c>
      <c r="D140" s="10">
        <f t="shared" si="43"/>
        <v>30.528889559999996</v>
      </c>
      <c r="E140" s="11">
        <v>7.2917</v>
      </c>
      <c r="F140" s="10">
        <f t="shared" si="41"/>
        <v>0</v>
      </c>
      <c r="G140" s="12"/>
    </row>
    <row r="141" spans="1:7" ht="16.5">
      <c r="A141" s="4">
        <v>136</v>
      </c>
      <c r="B141" s="10">
        <f t="shared" si="42"/>
        <v>64.069</v>
      </c>
      <c r="C141" s="11">
        <f>64.069/4.1868</f>
        <v>15.30261775102704</v>
      </c>
      <c r="D141" s="10">
        <f t="shared" si="43"/>
        <v>66.189</v>
      </c>
      <c r="E141" s="11">
        <f>66.189/4.1868</f>
        <v>15.808971051877327</v>
      </c>
      <c r="F141" s="10">
        <f t="shared" si="41"/>
        <v>0.5063533008502876</v>
      </c>
      <c r="G141" s="12"/>
    </row>
    <row r="142" spans="1:7" ht="16.5">
      <c r="A142" s="4">
        <v>137</v>
      </c>
      <c r="B142" s="10">
        <v>0</v>
      </c>
      <c r="C142" s="11">
        <v>0.229</v>
      </c>
      <c r="D142" s="10">
        <v>0</v>
      </c>
      <c r="E142" s="11">
        <v>0.229</v>
      </c>
      <c r="F142" s="10">
        <f t="shared" si="41"/>
        <v>0</v>
      </c>
      <c r="G142" s="12"/>
    </row>
    <row r="143" spans="1:7" ht="16.5">
      <c r="A143" s="4">
        <v>138</v>
      </c>
      <c r="B143" s="10" t="e">
        <f aca="true" t="shared" si="44" ref="B143:B151">C143*4.1868</f>
        <v>#VALUE!</v>
      </c>
      <c r="C143" s="15" t="s">
        <v>13</v>
      </c>
      <c r="D143" s="10">
        <v>0</v>
      </c>
      <c r="E143" s="15" t="s">
        <v>13</v>
      </c>
      <c r="F143" s="10">
        <v>0</v>
      </c>
      <c r="G143" s="12">
        <v>0.663</v>
      </c>
    </row>
    <row r="144" spans="1:7" ht="16.5">
      <c r="A144" s="4">
        <v>139</v>
      </c>
      <c r="B144" s="10">
        <f t="shared" si="44"/>
        <v>68.995</v>
      </c>
      <c r="C144" s="11">
        <f>68.995/4.1868</f>
        <v>16.479172637814084</v>
      </c>
      <c r="D144" s="10">
        <f aca="true" t="shared" si="45" ref="D144:D151">E144*4.1868</f>
        <v>70.027</v>
      </c>
      <c r="E144" s="11">
        <f>70.027/4.1868</f>
        <v>16.72566160313366</v>
      </c>
      <c r="F144" s="10">
        <f aca="true" t="shared" si="46" ref="F144:F157">E144-C144</f>
        <v>0.24648896531957476</v>
      </c>
      <c r="G144" s="12"/>
    </row>
    <row r="145" spans="1:7" ht="16.5">
      <c r="A145" s="4">
        <v>140</v>
      </c>
      <c r="B145" s="10">
        <f t="shared" si="44"/>
        <v>12.622999999999998</v>
      </c>
      <c r="C145" s="13">
        <f>12.623/4.1868</f>
        <v>3.014951753128881</v>
      </c>
      <c r="D145" s="10">
        <f t="shared" si="45"/>
        <v>12.626</v>
      </c>
      <c r="E145" s="13">
        <f>12.626/4.1868</f>
        <v>3.0156682908187635</v>
      </c>
      <c r="F145" s="10">
        <f t="shared" si="46"/>
        <v>0.0007165376898825571</v>
      </c>
      <c r="G145" s="12"/>
    </row>
    <row r="146" spans="1:7" ht="16.5">
      <c r="A146" s="4">
        <v>141</v>
      </c>
      <c r="B146" s="10">
        <f t="shared" si="44"/>
        <v>119.01</v>
      </c>
      <c r="C146" s="16">
        <f>119.01/4.1868</f>
        <v>28.425050157638292</v>
      </c>
      <c r="D146" s="10">
        <f t="shared" si="45"/>
        <v>121.107</v>
      </c>
      <c r="E146" s="16">
        <f>121.107/4.1868</f>
        <v>28.92591000286615</v>
      </c>
      <c r="F146" s="10">
        <f t="shared" si="46"/>
        <v>0.5008598452278576</v>
      </c>
      <c r="G146" s="12"/>
    </row>
    <row r="147" spans="1:7" ht="16.5">
      <c r="A147" s="4">
        <v>142</v>
      </c>
      <c r="B147" s="10">
        <f t="shared" si="44"/>
        <v>5.572</v>
      </c>
      <c r="C147" s="11">
        <f>5.572/4.1868</f>
        <v>1.3308493360084075</v>
      </c>
      <c r="D147" s="10">
        <f t="shared" si="45"/>
        <v>5.572</v>
      </c>
      <c r="E147" s="11">
        <f>5.572/4.1868</f>
        <v>1.3308493360084075</v>
      </c>
      <c r="F147" s="10">
        <f t="shared" si="46"/>
        <v>0</v>
      </c>
      <c r="G147" s="12"/>
    </row>
    <row r="148" spans="1:7" ht="16.5">
      <c r="A148" s="4">
        <v>143</v>
      </c>
      <c r="B148" s="10">
        <f t="shared" si="44"/>
        <v>165.594</v>
      </c>
      <c r="C148" s="11">
        <f>165.594/4.1868</f>
        <v>39.55144740613356</v>
      </c>
      <c r="D148" s="10">
        <f t="shared" si="45"/>
        <v>167.331</v>
      </c>
      <c r="E148" s="11">
        <f>167.331/4.1868</f>
        <v>39.96632272857552</v>
      </c>
      <c r="F148" s="10">
        <f t="shared" si="46"/>
        <v>0.4148753224419579</v>
      </c>
      <c r="G148" s="12"/>
    </row>
    <row r="149" spans="1:7" ht="16.5">
      <c r="A149" s="4">
        <v>144</v>
      </c>
      <c r="B149" s="10">
        <f t="shared" si="44"/>
        <v>150.451</v>
      </c>
      <c r="C149" s="11">
        <f>150.451/4.1868</f>
        <v>35.934603993503394</v>
      </c>
      <c r="D149" s="10">
        <f t="shared" si="45"/>
        <v>152.382</v>
      </c>
      <c r="E149" s="11">
        <f>152.382/4.1868</f>
        <v>36.395815419891086</v>
      </c>
      <c r="F149" s="10">
        <f t="shared" si="46"/>
        <v>0.46121142638769186</v>
      </c>
      <c r="G149" s="12"/>
    </row>
    <row r="150" spans="1:7" ht="16.5">
      <c r="A150" s="4">
        <v>145</v>
      </c>
      <c r="B150" s="10">
        <f t="shared" si="44"/>
        <v>10.786</v>
      </c>
      <c r="C150" s="11">
        <f>10.786/4.1868</f>
        <v>2.5761918410241713</v>
      </c>
      <c r="D150" s="10">
        <f t="shared" si="45"/>
        <v>13.222</v>
      </c>
      <c r="E150" s="11">
        <f>13.222/4.1868</f>
        <v>3.1580204452087512</v>
      </c>
      <c r="F150" s="10">
        <f t="shared" si="46"/>
        <v>0.5818286041845799</v>
      </c>
      <c r="G150" s="12"/>
    </row>
    <row r="151" spans="1:7" ht="16.5">
      <c r="A151" s="4">
        <v>146</v>
      </c>
      <c r="B151" s="10">
        <f t="shared" si="44"/>
        <v>28.966000000000005</v>
      </c>
      <c r="C151" s="11">
        <f>28.966/4.1868</f>
        <v>6.918410241712048</v>
      </c>
      <c r="D151" s="10">
        <f t="shared" si="45"/>
        <v>29.156</v>
      </c>
      <c r="E151" s="11">
        <f>29.156/4.1868</f>
        <v>6.963790962071272</v>
      </c>
      <c r="F151" s="10">
        <f t="shared" si="46"/>
        <v>0.04538072035922358</v>
      </c>
      <c r="G151" s="12"/>
    </row>
    <row r="152" spans="1:7" ht="16.5">
      <c r="A152" s="4">
        <v>147</v>
      </c>
      <c r="B152" s="10">
        <v>0</v>
      </c>
      <c r="C152" s="11">
        <v>1.6485</v>
      </c>
      <c r="D152" s="10">
        <v>0</v>
      </c>
      <c r="E152" s="11">
        <v>1.7597</v>
      </c>
      <c r="F152" s="10">
        <f t="shared" si="46"/>
        <v>0.11119999999999997</v>
      </c>
      <c r="G152" s="12"/>
    </row>
    <row r="153" spans="1:7" ht="16.5">
      <c r="A153" s="4">
        <v>148</v>
      </c>
      <c r="B153" s="10">
        <f aca="true" t="shared" si="47" ref="B153:B157">C153*4.1868</f>
        <v>33.13977804</v>
      </c>
      <c r="C153" s="11">
        <v>7.9153</v>
      </c>
      <c r="D153" s="10">
        <f aca="true" t="shared" si="48" ref="D153:D157">E153*4.1868</f>
        <v>34.45192116</v>
      </c>
      <c r="E153" s="11">
        <v>8.2287</v>
      </c>
      <c r="F153" s="10">
        <f t="shared" si="46"/>
        <v>0.3133999999999997</v>
      </c>
      <c r="G153" s="12"/>
    </row>
    <row r="154" spans="1:7" ht="16.5">
      <c r="A154" s="4">
        <v>149</v>
      </c>
      <c r="B154" s="10">
        <f t="shared" si="47"/>
        <v>20.096639999999997</v>
      </c>
      <c r="C154" s="11">
        <v>4.8</v>
      </c>
      <c r="D154" s="10">
        <f t="shared" si="48"/>
        <v>22.19004</v>
      </c>
      <c r="E154" s="11">
        <v>5.3</v>
      </c>
      <c r="F154" s="10">
        <f t="shared" si="46"/>
        <v>0.5</v>
      </c>
      <c r="G154" s="12"/>
    </row>
    <row r="155" spans="1:7" ht="16.5">
      <c r="A155" s="4">
        <v>150</v>
      </c>
      <c r="B155" s="10">
        <f t="shared" si="47"/>
        <v>81.031</v>
      </c>
      <c r="C155" s="11">
        <f>81.031/4.1868</f>
        <v>19.353921849622626</v>
      </c>
      <c r="D155" s="10">
        <f t="shared" si="48"/>
        <v>83.381</v>
      </c>
      <c r="E155" s="11">
        <f>83.381/4.1868</f>
        <v>19.91520970669724</v>
      </c>
      <c r="F155" s="10">
        <f t="shared" si="46"/>
        <v>0.561287857074614</v>
      </c>
      <c r="G155" s="12"/>
    </row>
    <row r="156" spans="1:7" ht="16.5">
      <c r="A156" s="4">
        <v>151</v>
      </c>
      <c r="B156" s="10">
        <f t="shared" si="47"/>
        <v>40.721</v>
      </c>
      <c r="C156" s="11">
        <f>40.721/4.1868</f>
        <v>9.726043756568261</v>
      </c>
      <c r="D156" s="10">
        <f t="shared" si="48"/>
        <v>42.736</v>
      </c>
      <c r="E156" s="11">
        <f>42.736/4.1868</f>
        <v>10.207318238272666</v>
      </c>
      <c r="F156" s="10">
        <f t="shared" si="46"/>
        <v>0.48127448170440523</v>
      </c>
      <c r="G156" s="12"/>
    </row>
    <row r="157" spans="1:7" ht="16.5">
      <c r="A157" s="4">
        <v>152</v>
      </c>
      <c r="B157" s="10">
        <f t="shared" si="47"/>
        <v>48.336</v>
      </c>
      <c r="C157" s="11">
        <f>48.336/4.1868</f>
        <v>11.544855259386644</v>
      </c>
      <c r="D157" s="10">
        <f t="shared" si="48"/>
        <v>49.357</v>
      </c>
      <c r="E157" s="11">
        <f>49.357/4.1868</f>
        <v>11.788716919843317</v>
      </c>
      <c r="F157" s="10">
        <f t="shared" si="46"/>
        <v>0.24386166045667323</v>
      </c>
      <c r="G157" s="12"/>
    </row>
    <row r="158" spans="1:7" ht="15.75">
      <c r="A158" s="17" t="s">
        <v>15</v>
      </c>
      <c r="B158" s="18"/>
      <c r="C158" s="19"/>
      <c r="D158" s="20"/>
      <c r="E158" s="19"/>
      <c r="F158" s="21">
        <v>59.178</v>
      </c>
      <c r="G158" s="21"/>
    </row>
    <row r="159" spans="1:7" ht="15.75">
      <c r="A159" s="22" t="s">
        <v>16</v>
      </c>
      <c r="B159" s="22"/>
      <c r="C159" s="23"/>
      <c r="D159" s="22"/>
      <c r="E159" s="23"/>
      <c r="F159" s="24">
        <v>32.185</v>
      </c>
      <c r="G159" s="24"/>
    </row>
    <row r="160" spans="1:7" ht="15.75">
      <c r="A160" s="22" t="s">
        <v>17</v>
      </c>
      <c r="B160" s="22"/>
      <c r="C160" s="23"/>
      <c r="D160" s="22"/>
      <c r="E160" s="23"/>
      <c r="F160" s="24">
        <v>15.101</v>
      </c>
      <c r="G160" s="24"/>
    </row>
    <row r="161" spans="1:7" ht="15.75">
      <c r="A161" s="25" t="s">
        <v>18</v>
      </c>
      <c r="B161" s="25"/>
      <c r="C161" s="25"/>
      <c r="D161" s="25"/>
      <c r="E161" s="25"/>
      <c r="F161" s="10">
        <f>F158-F159-F160</f>
        <v>11.891999999999994</v>
      </c>
      <c r="G161" s="10"/>
    </row>
    <row r="162" spans="1:7" ht="15.75">
      <c r="A162" s="25" t="s">
        <v>19</v>
      </c>
      <c r="B162" s="25"/>
      <c r="C162" s="25"/>
      <c r="D162" s="25"/>
      <c r="E162" s="25"/>
      <c r="F162" s="26">
        <f>F161/7549.2</f>
        <v>0.0015752662533778407</v>
      </c>
      <c r="G162" s="26"/>
    </row>
  </sheetData>
  <sheetProtection selectLockedCells="1" selectUnlockedCells="1"/>
  <mergeCells count="16">
    <mergeCell ref="A1:F1"/>
    <mergeCell ref="A2:A5"/>
    <mergeCell ref="B2:G2"/>
    <mergeCell ref="B3:C3"/>
    <mergeCell ref="D3:E3"/>
    <mergeCell ref="F3:F5"/>
    <mergeCell ref="G3:G5"/>
    <mergeCell ref="B5:C5"/>
    <mergeCell ref="D5:E5"/>
    <mergeCell ref="F158:G158"/>
    <mergeCell ref="F159:G159"/>
    <mergeCell ref="F160:G160"/>
    <mergeCell ref="A161:E161"/>
    <mergeCell ref="F161:G161"/>
    <mergeCell ref="A162:E162"/>
    <mergeCell ref="F162:G16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2020-04-30T05:52:02Z</dcterms:modified>
  <cp:category/>
  <cp:version/>
  <cp:contentType/>
  <cp:contentStatus/>
  <cp:revision>2</cp:revision>
</cp:coreProperties>
</file>